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Workgroups\FPC Marketing\Energy Efficiency and Sales\2020 DSM Plan\Program Implementation\PIC Database Development\Business Programs\8 BHVAC Core Team\Calculators\"/>
    </mc:Choice>
  </mc:AlternateContent>
  <xr:revisionPtr revIDLastSave="0" documentId="13_ncr:1_{B03D1B4B-D2E8-44F7-A9F5-075D38AC0A88}" xr6:coauthVersionLast="47" xr6:coauthVersionMax="47" xr10:uidLastSave="{00000000-0000-0000-0000-000000000000}"/>
  <bookViews>
    <workbookView xWindow="38370" yWindow="0" windowWidth="31695" windowHeight="20175" firstSheet="1" activeTab="1" xr2:uid="{AD652C86-FF14-4436-8880-F84DDAE8E562}"/>
  </bookViews>
  <sheets>
    <sheet name="INPUTS" sheetId="1" state="hidden" r:id="rId1"/>
    <sheet name="AirC Calculations" sheetId="2" r:id="rId2"/>
    <sheet name="WaterC Centrif Calculations" sheetId="3" r:id="rId3"/>
    <sheet name="WaterC Pos Disp Calc" sheetId="4" r:id="rId4"/>
  </sheets>
  <definedNames>
    <definedName name="ac_150_or_Above">'AirC Calculations'!$B$7</definedName>
    <definedName name="ac_AC_Type">'AirC Calculations'!$C$26</definedName>
    <definedName name="ac_ACTons">'AirC Calculations'!$C$27</definedName>
    <definedName name="ac_BEF">INPUTS!$C$24</definedName>
    <definedName name="ac_EERMinA">INPUTS!$C$14</definedName>
    <definedName name="ac_EERMinB">INPUTS!$C$18</definedName>
    <definedName name="ac_EERN">'AirC Calculations'!$C$29</definedName>
    <definedName name="ac_EERQualA">INPUTS!$C$13</definedName>
    <definedName name="ac_EERQualB">INPUTS!$C$17</definedName>
    <definedName name="ac_GT150_MinIPLVA">INPUTS!$C$12</definedName>
    <definedName name="ac_GT150_MinIPLVB">INPUTS!$C$16</definedName>
    <definedName name="ac_Incent_per_kW">INPUTS!$C$23</definedName>
    <definedName name="ac_IPLVN">'AirC Calculations'!$C$31</definedName>
    <definedName name="ac_kWhFact">INPUTS!$C$22</definedName>
    <definedName name="ac_LT150_MinIPLVA">INPUTS!$C$11</definedName>
    <definedName name="ac_LT150_MinIPLVB">INPUTS!$C$15</definedName>
    <definedName name="ac_PATH">'AirC Calculations'!$B$6</definedName>
    <definedName name="ac_Path_A_Icentive">'AirC Calculations'!$B$13</definedName>
    <definedName name="ac_Path_A_kWh">'AirC Calculations'!$B$12</definedName>
    <definedName name="ac_Path_A_SkW">'AirC Calculations'!$B$10</definedName>
    <definedName name="ac_Path_A_WkW">'AirC Calculations'!$B$11</definedName>
    <definedName name="ac_Path_B_Icentive">'AirC Calculations'!$B$18</definedName>
    <definedName name="ac_Path_B_kWh">'AirC Calculations'!$B$17</definedName>
    <definedName name="ac_Path_B_SkW">'AirC Calculations'!$B$15</definedName>
    <definedName name="ac_Path_B_WkW">'AirC Calculations'!$B$16</definedName>
    <definedName name="ac_SkWFact">INPUTS!$C$20</definedName>
    <definedName name="ac_WkWFact">INPUTS!$C$21</definedName>
    <definedName name="GenMinkWperTonPerc">INPUTS!$C$78</definedName>
    <definedName name="wc_BEF">INPUTS!$C$77</definedName>
    <definedName name="wc_Incent_per_kW">INPUTS!$C$76</definedName>
    <definedName name="wc_kWhFact">INPUTS!$C$75</definedName>
    <definedName name="wc_SkWFact">INPUTS!$C$73</definedName>
    <definedName name="wc_WkWFact">INPUTS!$C$74</definedName>
    <definedName name="wcc_151to300_MinIPLVA">INPUTS!$C$41</definedName>
    <definedName name="wcc_151to300_MinIPLVB">INPUTS!$C$56</definedName>
    <definedName name="wcc_301to400_MinIPLVA">INPUTS!$C$42</definedName>
    <definedName name="wcc_301to400_MinIPLVB">INPUTS!$C$57</definedName>
    <definedName name="wcc_401to600_MinIPLVA">INPUTS!$C$43</definedName>
    <definedName name="wcc_401to600_MinIPLVB">INPUTS!$C$58</definedName>
    <definedName name="wcc_ACTons">'WaterC Centrif Calculations'!$C$35</definedName>
    <definedName name="wcc_EERMinA_151to300">INPUTS!$C$48</definedName>
    <definedName name="wcc_EERMinA_301to400">INPUTS!$C$50</definedName>
    <definedName name="wcc_EERMinA_401to600">INPUTS!$C$52</definedName>
    <definedName name="wcc_EERMinA_GT600">INPUTS!$C$54</definedName>
    <definedName name="wcc_EERMinA_LT150">INPUTS!$C$46</definedName>
    <definedName name="wcc_EERMinB_151to300">INPUTS!$C$63</definedName>
    <definedName name="wcc_EERMinB_301to400">INPUTS!$C$65</definedName>
    <definedName name="wcc_EERMinB_401to600">INPUTS!$C$67</definedName>
    <definedName name="wcc_EERMinB_GT600">INPUTS!$C$69</definedName>
    <definedName name="wcc_EERMinB_LT150">INPUTS!$C$61</definedName>
    <definedName name="wcc_EERN">'WaterC Centrif Calculations'!$C$37</definedName>
    <definedName name="wcc_EERQualA_151to300">INPUTS!$C$47</definedName>
    <definedName name="wcc_EERQualA_301to400">INPUTS!$C$49</definedName>
    <definedName name="wcc_EERQualA_401to600">INPUTS!$C$51</definedName>
    <definedName name="wcc_EERQualA_GT600">INPUTS!$C$53</definedName>
    <definedName name="wcc_EERQualA_LT150">INPUTS!$C$45</definedName>
    <definedName name="wcc_EERQualB_151to300">INPUTS!$C$62</definedName>
    <definedName name="wcc_EERQualB_301to400">INPUTS!$C$64</definedName>
    <definedName name="wcc_EERQualB_401to600">INPUTS!$C$66</definedName>
    <definedName name="wcc_EERQualB_GT600">INPUTS!$C$68</definedName>
    <definedName name="wcc_EERQualB_LT150">INPUTS!$C$60</definedName>
    <definedName name="wcc_GT600_MinIPLVA">INPUTS!$C$44</definedName>
    <definedName name="wcc_GT600_MinIPLVB">INPUTS!$C$59</definedName>
    <definedName name="wcc_IPLVN">'WaterC Centrif Calculations'!$C$39</definedName>
    <definedName name="wcc_LT150_MinIPLVA">INPUTS!$C$40</definedName>
    <definedName name="wcc_LT150_MinIPLVB">INPUTS!$C$55</definedName>
    <definedName name="wcc_Path">'WaterC Centrif Calculations'!$C$5</definedName>
    <definedName name="wcc_Path151to300">'WaterC Centrif Calculations'!$C$7</definedName>
    <definedName name="wcc_PathA_Inc">'WaterC Centrif Calculations'!$P$13</definedName>
    <definedName name="wcc_PathA_kWh">'WaterC Centrif Calculations'!$L$13</definedName>
    <definedName name="wcc_PathA_SkW">'WaterC Centrif Calculations'!$C$13</definedName>
    <definedName name="wcc_PathA_WkW">'WaterC Centrif Calculations'!$H$13</definedName>
    <definedName name="wcc_PathGT600">'WaterC Centrif Calculations'!$C$10</definedName>
    <definedName name="wcc_PathLT150">'WaterC Centrif Calculations'!$C$6</definedName>
    <definedName name="wcc_PathLT301to400">'WaterC Centrif Calculations'!$C$8</definedName>
    <definedName name="wcc_PathLT401to600">'WaterC Centrif Calculations'!$C$9</definedName>
    <definedName name="wcc_PB_Inc">'WaterC Centrif Calculations'!$P$21</definedName>
    <definedName name="wcc_PB_kWh">'WaterC Centrif Calculations'!$L$21</definedName>
    <definedName name="wcc_PB_SkW">'WaterC Centrif Calculations'!$C$21</definedName>
    <definedName name="wcc_PB_WkW">'WaterC Centrif Calculations'!$H$21</definedName>
    <definedName name="wcp_151to300_MinIPLVA">INPUTS!$H$42</definedName>
    <definedName name="wcp_151to300MinIPLVB">INPUTS!$H$57</definedName>
    <definedName name="wcp_301to600_MinIPLVA">INPUTS!$H$43</definedName>
    <definedName name="wcp_301to600_MinIPLVB">INPUTS!$H$58</definedName>
    <definedName name="wcp_76to150_MinIPLVA">INPUTS!$H$41</definedName>
    <definedName name="wcp_76to150_MinIPLVB">INPUTS!$H$56</definedName>
    <definedName name="wcp_ACTons">'WaterC Pos Disp Calc'!$C$35</definedName>
    <definedName name="wcp_EERMinA_151to300">INPUTS!$H$50</definedName>
    <definedName name="wcp_EERMinA_301to600">INPUTS!$H$52</definedName>
    <definedName name="wcp_EERMinA_76to150">INPUTS!$H$48</definedName>
    <definedName name="wcp_EERMinA_GT600">INPUTS!$H$54</definedName>
    <definedName name="wcp_EERMinA_LT75">INPUTS!$H$46</definedName>
    <definedName name="wcp_EERMinB_151to300">INPUTS!$H$65</definedName>
    <definedName name="wcp_EERMinB_301to600">INPUTS!$H$67</definedName>
    <definedName name="wcp_EERMinB_76to150">INPUTS!$H$63</definedName>
    <definedName name="wcp_EERMinB_GT600">INPUTS!$H$69</definedName>
    <definedName name="wcp_EERMinB_LT75">INPUTS!$H$61</definedName>
    <definedName name="wcp_EERN">'WaterC Pos Disp Calc'!$C$37</definedName>
    <definedName name="wcp_EERQualA_151to300">INPUTS!$H$49</definedName>
    <definedName name="wcp_EERQualA_301to600">INPUTS!$H$51</definedName>
    <definedName name="wcp_EERQualA_76to150">INPUTS!$H$47</definedName>
    <definedName name="wcp_EERQualA_GT600">INPUTS!$H$53</definedName>
    <definedName name="wcp_EERQualA_LT75">INPUTS!$H$45</definedName>
    <definedName name="wcp_EERQualB_151to300">INPUTS!$H$64</definedName>
    <definedName name="wcp_EERQualB_301to600">INPUTS!$H$66</definedName>
    <definedName name="wcp_EERQualB_76to150">INPUTS!$H$62</definedName>
    <definedName name="wcp_EERQualB_GT600">INPUTS!$H$68</definedName>
    <definedName name="wcp_EERQualB_LT75">INPUTS!$H$60</definedName>
    <definedName name="wcp_GT600_MinIPLVA">INPUTS!$H$44</definedName>
    <definedName name="wcp_GT600_MinIPLVB">INPUTS!$H$59</definedName>
    <definedName name="wcp_IPLVN">'WaterC Pos Disp Calc'!$C$39</definedName>
    <definedName name="wcp_LT75_MinIPLVA">INPUTS!$H$40</definedName>
    <definedName name="wcp_LT75_MinIPLVB">INPUTS!$H$55</definedName>
    <definedName name="wcp_PA_Inc">'WaterC Pos Disp Calc'!$O$13</definedName>
    <definedName name="wcp_PA_kWh">'WaterC Pos Disp Calc'!$K$13</definedName>
    <definedName name="wcp_PA_SkW">'WaterC Pos Disp Calc'!$C$13</definedName>
    <definedName name="wcp_PA_WkW">'WaterC Pos Disp Calc'!$G$13</definedName>
    <definedName name="wcp_Path">'WaterC Pos Disp Calc'!$C$5</definedName>
    <definedName name="wcp_PathGT600">'WaterC Pos Disp Calc'!$C$10</definedName>
    <definedName name="wcp_PathLT151to300">'WaterC Pos Disp Calc'!$C$8</definedName>
    <definedName name="wcp_PathLT301to600">'WaterC Pos Disp Calc'!$C$9</definedName>
    <definedName name="wcp_PathLT75">'WaterC Pos Disp Calc'!$C$6</definedName>
    <definedName name="wcp_PB_Inc">'WaterC Pos Disp Calc'!$O$21</definedName>
    <definedName name="wcp_PB_kWh">'WaterC Pos Disp Calc'!$K$21</definedName>
    <definedName name="wcp_PB_SkW">'WaterC Pos Disp Calc'!$C$21</definedName>
    <definedName name="wcp_PB_WkW">'WaterC Pos Disp Calc'!$G$21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4" l="1"/>
  <c r="E45" i="4"/>
  <c r="E44" i="4"/>
  <c r="E43" i="4"/>
  <c r="E46" i="3"/>
  <c r="E45" i="3"/>
  <c r="E44" i="3"/>
  <c r="E43" i="3"/>
  <c r="E38" i="2"/>
  <c r="E37" i="2"/>
  <c r="E36" i="2"/>
  <c r="E35" i="2"/>
  <c r="C37" i="4"/>
  <c r="C39" i="4"/>
  <c r="C37" i="3"/>
  <c r="C39" i="3"/>
  <c r="C37" i="1"/>
  <c r="C31" i="2"/>
  <c r="C29" i="2"/>
  <c r="B12" i="2" s="1"/>
  <c r="C17" i="1"/>
  <c r="C13" i="1"/>
  <c r="P17" i="3"/>
  <c r="C73" i="1"/>
  <c r="C20" i="1"/>
  <c r="B10" i="2" l="1"/>
  <c r="B13" i="2"/>
  <c r="B18" i="2"/>
  <c r="B15" i="2"/>
  <c r="C8" i="4" l="1"/>
  <c r="C10" i="4"/>
  <c r="C9" i="4"/>
  <c r="C7" i="4"/>
  <c r="C6" i="4"/>
  <c r="C10" i="3"/>
  <c r="C9" i="3"/>
  <c r="C8" i="3"/>
  <c r="C7" i="3"/>
  <c r="C6" i="3"/>
  <c r="B8" i="2" l="1"/>
  <c r="B7" i="2"/>
  <c r="B6" i="2" l="1"/>
  <c r="C22" i="2" s="1"/>
  <c r="H53" i="1"/>
  <c r="H51" i="1"/>
  <c r="G17" i="4" s="1"/>
  <c r="H49" i="1"/>
  <c r="H47" i="1"/>
  <c r="H45" i="1"/>
  <c r="C53" i="1"/>
  <c r="H18" i="3" s="1"/>
  <c r="C51" i="1"/>
  <c r="C49" i="1"/>
  <c r="H16" i="3" s="1"/>
  <c r="C47" i="1"/>
  <c r="P15" i="3" s="1"/>
  <c r="C45" i="1"/>
  <c r="H68" i="1"/>
  <c r="K26" i="4" s="1"/>
  <c r="H66" i="1"/>
  <c r="C25" i="4" s="1"/>
  <c r="H64" i="1"/>
  <c r="H62" i="1"/>
  <c r="H60" i="1"/>
  <c r="C68" i="1"/>
  <c r="C26" i="3" s="1"/>
  <c r="C66" i="1"/>
  <c r="C64" i="1"/>
  <c r="C24" i="3" s="1"/>
  <c r="C62" i="1"/>
  <c r="P23" i="3" s="1"/>
  <c r="C60" i="1"/>
  <c r="O26" i="4"/>
  <c r="O24" i="4"/>
  <c r="O23" i="4"/>
  <c r="O22" i="4"/>
  <c r="K24" i="4"/>
  <c r="K23" i="4"/>
  <c r="K22" i="4"/>
  <c r="G26" i="4"/>
  <c r="G24" i="4"/>
  <c r="G23" i="4"/>
  <c r="G22" i="4"/>
  <c r="C26" i="4"/>
  <c r="C24" i="4"/>
  <c r="C23" i="4"/>
  <c r="C22" i="4"/>
  <c r="O18" i="4"/>
  <c r="O16" i="4"/>
  <c r="O15" i="4"/>
  <c r="O14" i="4"/>
  <c r="C16" i="4"/>
  <c r="C15" i="4"/>
  <c r="C14" i="4"/>
  <c r="C18" i="4"/>
  <c r="K18" i="4"/>
  <c r="K16" i="4"/>
  <c r="K15" i="4"/>
  <c r="K14" i="4"/>
  <c r="G18" i="4"/>
  <c r="G16" i="4"/>
  <c r="G15" i="4"/>
  <c r="G14" i="4"/>
  <c r="C5" i="4"/>
  <c r="C30" i="4" s="1"/>
  <c r="P25" i="3"/>
  <c r="P22" i="3"/>
  <c r="L25" i="3"/>
  <c r="L22" i="3"/>
  <c r="H25" i="3"/>
  <c r="H22" i="3"/>
  <c r="C25" i="3"/>
  <c r="C22" i="3"/>
  <c r="P18" i="3"/>
  <c r="P16" i="3"/>
  <c r="P14" i="3"/>
  <c r="L18" i="3"/>
  <c r="L17" i="3"/>
  <c r="L16" i="3"/>
  <c r="L15" i="3"/>
  <c r="L14" i="3"/>
  <c r="H17" i="3"/>
  <c r="H15" i="3"/>
  <c r="H14" i="3"/>
  <c r="C18" i="3"/>
  <c r="C17" i="3"/>
  <c r="C15" i="3"/>
  <c r="C14" i="3"/>
  <c r="C35" i="2" l="1"/>
  <c r="L26" i="3"/>
  <c r="P26" i="3"/>
  <c r="H26" i="3"/>
  <c r="C21" i="4"/>
  <c r="G13" i="4"/>
  <c r="C16" i="3"/>
  <c r="C13" i="3" s="1"/>
  <c r="C17" i="4"/>
  <c r="C13" i="4" s="1"/>
  <c r="H24" i="3"/>
  <c r="P24" i="3"/>
  <c r="K17" i="4"/>
  <c r="K13" i="4" s="1"/>
  <c r="O17" i="4"/>
  <c r="O13" i="4" s="1"/>
  <c r="L24" i="3"/>
  <c r="C23" i="3"/>
  <c r="C21" i="3" s="1"/>
  <c r="L23" i="3"/>
  <c r="H23" i="3"/>
  <c r="G25" i="4"/>
  <c r="G21" i="4" s="1"/>
  <c r="K25" i="4"/>
  <c r="K21" i="4" s="1"/>
  <c r="O25" i="4"/>
  <c r="O21" i="4" s="1"/>
  <c r="P13" i="3"/>
  <c r="H13" i="3"/>
  <c r="L13" i="3"/>
  <c r="C5" i="3"/>
  <c r="C30" i="3" s="1"/>
  <c r="H21" i="3" l="1"/>
  <c r="C44" i="3" s="1"/>
  <c r="P21" i="3"/>
  <c r="C46" i="3" s="1"/>
  <c r="C46" i="4"/>
  <c r="C45" i="4"/>
  <c r="C43" i="4"/>
  <c r="C44" i="4"/>
  <c r="C43" i="3"/>
  <c r="L21" i="3"/>
  <c r="C45" i="3" s="1"/>
  <c r="B17" i="2"/>
  <c r="B16" i="2"/>
  <c r="C38" i="2"/>
  <c r="B11" i="2"/>
  <c r="C36" i="2" l="1"/>
  <c r="C37" i="2"/>
</calcChain>
</file>

<file path=xl/sharedStrings.xml><?xml version="1.0" encoding="utf-8"?>
<sst xmlns="http://schemas.openxmlformats.org/spreadsheetml/2006/main" count="599" uniqueCount="390">
  <si>
    <t>Air Cooled Chiller</t>
  </si>
  <si>
    <t>Program Level Inputs</t>
  </si>
  <si>
    <t>Description</t>
  </si>
  <si>
    <t>Code</t>
  </si>
  <si>
    <t>Value</t>
  </si>
  <si>
    <t>Min Path-A IPLV for &lt;150</t>
  </si>
  <si>
    <t>ac_LT150 MinIPLVA</t>
  </si>
  <si>
    <t>Min Path-A IPLV for &gt;=150</t>
  </si>
  <si>
    <t>ac_GT150 MinIPLVA</t>
  </si>
  <si>
    <t>Path A Prog Qual EER</t>
  </si>
  <si>
    <t>ac_EERQualA</t>
  </si>
  <si>
    <t>Min qualifier</t>
  </si>
  <si>
    <r>
      <t>Air Cooled Chiller Rebate: Refer to Tab "</t>
    </r>
    <r>
      <rPr>
        <b/>
        <sz val="11"/>
        <color rgb="FFFF0000"/>
        <rFont val="Calibri"/>
        <family val="2"/>
        <scheme val="minor"/>
      </rPr>
      <t>AirC Calculations</t>
    </r>
    <r>
      <rPr>
        <b/>
        <sz val="11"/>
        <rFont val="Calibri"/>
        <family val="2"/>
        <scheme val="minor"/>
      </rPr>
      <t>"</t>
    </r>
  </si>
  <si>
    <t>Path A Min EER</t>
  </si>
  <si>
    <t>ac_EERMinA</t>
  </si>
  <si>
    <t>Base</t>
  </si>
  <si>
    <r>
      <t>Water Cooled Centrifugal Rebate: Refer to Tab "</t>
    </r>
    <r>
      <rPr>
        <b/>
        <sz val="11"/>
        <color rgb="FFFF0000"/>
        <rFont val="Calibri"/>
        <family val="2"/>
        <scheme val="minor"/>
      </rPr>
      <t>WaterC Centrif Calculations</t>
    </r>
    <r>
      <rPr>
        <b/>
        <sz val="11"/>
        <rFont val="Calibri"/>
        <family val="2"/>
        <scheme val="minor"/>
      </rPr>
      <t>"</t>
    </r>
  </si>
  <si>
    <t>Min Path-B IPLV for &lt;150</t>
  </si>
  <si>
    <t>ac_LT150 MinIPLVB</t>
  </si>
  <si>
    <r>
      <t>Water Cooled Positive Displacement Rebate: Refer to Tab "</t>
    </r>
    <r>
      <rPr>
        <b/>
        <sz val="11"/>
        <color rgb="FFFF0000"/>
        <rFont val="Calibri"/>
        <family val="2"/>
        <scheme val="minor"/>
      </rPr>
      <t>WaterC Pos Disp Calc</t>
    </r>
    <r>
      <rPr>
        <b/>
        <sz val="11"/>
        <rFont val="Calibri"/>
        <family val="2"/>
        <scheme val="minor"/>
      </rPr>
      <t>"</t>
    </r>
  </si>
  <si>
    <t>Min Path-B IPLV for &gt;=150</t>
  </si>
  <si>
    <t>ac_GT150 MinIPLVB</t>
  </si>
  <si>
    <t>Path B Prog Qual EER</t>
  </si>
  <si>
    <t>ac_EERQualB</t>
  </si>
  <si>
    <t>Path B Min EER</t>
  </si>
  <si>
    <t>ac_EERMinB</t>
  </si>
  <si>
    <t>kW to Summer kW Factor</t>
  </si>
  <si>
    <t>ac_SkWFact</t>
  </si>
  <si>
    <t>kW to Winter kW Factor</t>
  </si>
  <si>
    <t>ac_WkWFact</t>
  </si>
  <si>
    <t>KW to kWh</t>
  </si>
  <si>
    <t>ac_kWhFact</t>
  </si>
  <si>
    <t>Incentive $/kW</t>
  </si>
  <si>
    <t>ac_Incent per kW</t>
  </si>
  <si>
    <t>Base Energy Factor</t>
  </si>
  <si>
    <t>ac_BEF</t>
  </si>
  <si>
    <t>* Note: 4% incremental qualification formula should be included here, same as water cooled chiller; as part of the input values</t>
  </si>
  <si>
    <t>Water Cooled Centrifugal Chiller</t>
  </si>
  <si>
    <t>Water Cooled Positive Chiller</t>
  </si>
  <si>
    <t>wcc_LT150 MinIPLVA</t>
  </si>
  <si>
    <t>Min Path-A IPLV for &lt;75</t>
  </si>
  <si>
    <t>wcp_LT75 MinIPLVA</t>
  </si>
  <si>
    <t>Min Path-A IPLV for &lt;=150 to &lt;300</t>
  </si>
  <si>
    <t>wcc_151to300 MinIPLVA</t>
  </si>
  <si>
    <t>Min Path-A IPLV for &lt;=75 to&lt; 150</t>
  </si>
  <si>
    <t>wcp_76to150 MinIPLVA</t>
  </si>
  <si>
    <t>Min Path-A IPLV for &lt;=300 to &lt;400</t>
  </si>
  <si>
    <t>wcc_301to400 MinIPLVA</t>
  </si>
  <si>
    <t>wcp_151to300 MinIPLVA</t>
  </si>
  <si>
    <t>Min Path-A IPLV for &lt;=400 to &lt;600</t>
  </si>
  <si>
    <t>wcc_401to600 MinIPLVA</t>
  </si>
  <si>
    <t>Min Path-A IPLV for &lt;=300 to &lt;600</t>
  </si>
  <si>
    <t>wcp_301to600 MinIPLVA</t>
  </si>
  <si>
    <t>Min Path-A IPLV for &gt;=600</t>
  </si>
  <si>
    <t>wcc_GT600 MinIPLVA</t>
  </si>
  <si>
    <t>wcp_GT600 MinIPLVA</t>
  </si>
  <si>
    <t>WCC</t>
  </si>
  <si>
    <t>WCP</t>
  </si>
  <si>
    <t>Path A Program Qual EER &lt;150</t>
  </si>
  <si>
    <t>wcc_EERQualA-LT150</t>
  </si>
  <si>
    <t>calc</t>
  </si>
  <si>
    <t>Path A Prog Qual EER&lt;75</t>
  </si>
  <si>
    <t>wcp_EERQualA_LT75</t>
  </si>
  <si>
    <t>Path A Min EER &lt;150</t>
  </si>
  <si>
    <t>wcc_EERMinA-LT150</t>
  </si>
  <si>
    <t>ASHRAE</t>
  </si>
  <si>
    <t>Path A Min EER &lt;75</t>
  </si>
  <si>
    <t>wcp_EERMinA_LT75</t>
  </si>
  <si>
    <t>Path A Program Qual EER &lt;=150 to &lt;300</t>
  </si>
  <si>
    <t>wcc_EERQualA-151to300</t>
  </si>
  <si>
    <t>Path A Prog Qual EER &lt;=75 to&lt; 150</t>
  </si>
  <si>
    <t>wcp_EERQualA_76to150</t>
  </si>
  <si>
    <t>Path A Min EER &lt;=150 to &lt;300</t>
  </si>
  <si>
    <t>wcc_EERMinA-151to300</t>
  </si>
  <si>
    <t>Path A Min EER &lt;=75 to&lt; 150</t>
  </si>
  <si>
    <t>wcp_EERMinA_76to150</t>
  </si>
  <si>
    <t>Path A Program Qual EER  &lt;=300 to &lt;400</t>
  </si>
  <si>
    <t>wcc_EERQualA-301to400</t>
  </si>
  <si>
    <t>Path A Prog Qual EER &lt;=150 to &lt;300</t>
  </si>
  <si>
    <t>wcp_EERQualA_151to300</t>
  </si>
  <si>
    <t>Path A Min EER  &lt;=300 to &lt;400</t>
  </si>
  <si>
    <t>wcc_EERMinA-301to400</t>
  </si>
  <si>
    <t>wcp_EERMinA_151to300</t>
  </si>
  <si>
    <t>Path A Program Qual EER &lt;=400 to &lt;600</t>
  </si>
  <si>
    <t>wcc_EERQualA-401to600</t>
  </si>
  <si>
    <t>Path A Prog Qual EER &lt;=300 to &lt;600</t>
  </si>
  <si>
    <t>wcp_EERQualA_301to600</t>
  </si>
  <si>
    <t>Path A Min EER &lt;=400 to &lt;600</t>
  </si>
  <si>
    <t>wcc_EERMinA-401to600</t>
  </si>
  <si>
    <t>Path A Min EER &lt;=300 to &lt;600</t>
  </si>
  <si>
    <t>wcp_EERMinA_301to600</t>
  </si>
  <si>
    <t>Path A Program Qual EER &gt;=600</t>
  </si>
  <si>
    <t>wcc_EERQualA-GT600</t>
  </si>
  <si>
    <t>Path A Prog Qual EER  &gt;=600</t>
  </si>
  <si>
    <t>wcp_EERQualA_GT600</t>
  </si>
  <si>
    <t>Path A Min EER &gt;=600</t>
  </si>
  <si>
    <t>wcc_EERMinA-GT600</t>
  </si>
  <si>
    <t>Path A Min EER  &gt;=600</t>
  </si>
  <si>
    <t>wcp_EERMinA_GT600</t>
  </si>
  <si>
    <t>Min Path B IPLV for &lt;150</t>
  </si>
  <si>
    <t>wcc_LT150 MinIPLVB</t>
  </si>
  <si>
    <t>Min Path B IPLV for &lt;75</t>
  </si>
  <si>
    <t>wcp_LT75 MinIPLVB</t>
  </si>
  <si>
    <t>Min Path B IPLV for &lt;=150 to &lt;300</t>
  </si>
  <si>
    <t>wcc_151to300 MinIPLVB</t>
  </si>
  <si>
    <t>Min Path B IPLV for &lt;=75 to &lt;150</t>
  </si>
  <si>
    <t>wcp_76to150 MinIPLVB</t>
  </si>
  <si>
    <t>Min Path B IPLV for &lt;=300 to &lt;400</t>
  </si>
  <si>
    <t>wcc_301to400 MinIPLVB</t>
  </si>
  <si>
    <t>wcp_151to300MinIPLVB</t>
  </si>
  <si>
    <t>Min Path B IPLV for &lt;=400 to &lt;600</t>
  </si>
  <si>
    <t>wcc_401to600 MinIPLVB</t>
  </si>
  <si>
    <t>Min Path B IPLV for &lt;=300 to &lt;600</t>
  </si>
  <si>
    <t>wcp_301to600 MinIPLVB</t>
  </si>
  <si>
    <t>Min Path B IPLV for &gt;=600</t>
  </si>
  <si>
    <t>wcc_GT600 MinIPLVB</t>
  </si>
  <si>
    <t>wcp_GT600 MinIPLVB</t>
  </si>
  <si>
    <t>Path B Program Qual EER&lt;150</t>
  </si>
  <si>
    <t>wcc_EERQualB_LT150</t>
  </si>
  <si>
    <t>Path B Program Qual EER&lt;75</t>
  </si>
  <si>
    <t>wcp_EERQualB_LT75</t>
  </si>
  <si>
    <t>Path B Min EER &lt;150</t>
  </si>
  <si>
    <t>wcc_EERMinB_LT150</t>
  </si>
  <si>
    <t>Path B Min EER &lt;75</t>
  </si>
  <si>
    <t>wcp_EERMinB_LT75</t>
  </si>
  <si>
    <t>Path B Program Qual EER &lt;=150 to &lt;300</t>
  </si>
  <si>
    <t>wcc_EERQualB_151to300</t>
  </si>
  <si>
    <t>Path B Program Qual EER &lt;=75 to &lt;150</t>
  </si>
  <si>
    <t>wcp_EERQualB_76to150</t>
  </si>
  <si>
    <t>wcc_EERMinB_151to300</t>
  </si>
  <si>
    <t>Path B Min EER&lt;=75 to &lt;150</t>
  </si>
  <si>
    <t>wcp_EERMinB_76to150</t>
  </si>
  <si>
    <t>Path B Program Qual EER  &lt;=300 to &lt;400</t>
  </si>
  <si>
    <t>wcc_EERQualB_301to400</t>
  </si>
  <si>
    <t>wcp_EERQualB_151to300</t>
  </si>
  <si>
    <t>Path B Min EER  &lt;=300 to &lt;400</t>
  </si>
  <si>
    <t>wcc_EERMinB_301to400</t>
  </si>
  <si>
    <t>Path B Min EER &lt;=150 to &lt;300</t>
  </si>
  <si>
    <t>wcp_EERMinB_151to300</t>
  </si>
  <si>
    <t>Path B Program Qual EER &lt;=400 to &lt;600</t>
  </si>
  <si>
    <t>wcc_EERQualB_401to600</t>
  </si>
  <si>
    <t>Path B Program Qual EER &lt;=300 to &lt;600</t>
  </si>
  <si>
    <t>wcp_EERQualB_301to600</t>
  </si>
  <si>
    <t>Path B Min EER &lt;=400 to &lt;600</t>
  </si>
  <si>
    <t>wcc_EERMinB_401to600</t>
  </si>
  <si>
    <t>Path B Min EER &lt;=300 to &lt;600</t>
  </si>
  <si>
    <t>wcp_EERMinB_301to600</t>
  </si>
  <si>
    <t>Path B Program Qual EER &gt;=600</t>
  </si>
  <si>
    <t>wcc_EERQualB_GT600</t>
  </si>
  <si>
    <t>wcp_EERQualB_GT600</t>
  </si>
  <si>
    <t>Path B Min EER  &gt;=600</t>
  </si>
  <si>
    <t>wcc_EERMinB_GT600</t>
  </si>
  <si>
    <t>Path B Min EER &gt;=600</t>
  </si>
  <si>
    <t>wcp_EERMinB_GT600</t>
  </si>
  <si>
    <t>wc_SkWFact</t>
  </si>
  <si>
    <t>wc_WkWFact</t>
  </si>
  <si>
    <t>wc_kWhFact</t>
  </si>
  <si>
    <t>wc_Incent per kW</t>
  </si>
  <si>
    <t>wc_BEF</t>
  </si>
  <si>
    <t>General Min kW per Ton Reduction</t>
  </si>
  <si>
    <t>GenMinkWperTonPerc</t>
  </si>
  <si>
    <t>*Note: We should be able to enter EER or Kw/Ton as part of the input values</t>
  </si>
  <si>
    <t>Air Cooled Chillers</t>
  </si>
  <si>
    <t>Official Path</t>
  </si>
  <si>
    <t>150 or Above</t>
  </si>
  <si>
    <t>Less than 150</t>
  </si>
  <si>
    <t>Path A SkW</t>
  </si>
  <si>
    <t>Fundamental base equation:</t>
  </si>
  <si>
    <t>Basic Flow</t>
  </si>
  <si>
    <t>Path A WkW</t>
  </si>
  <si>
    <r>
      <t>kW</t>
    </r>
    <r>
      <rPr>
        <vertAlign val="subscript"/>
        <sz val="14"/>
        <color theme="1"/>
        <rFont val="Calibri"/>
        <family val="2"/>
        <scheme val="minor"/>
      </rPr>
      <t xml:space="preserve">at the meter </t>
    </r>
    <r>
      <rPr>
        <sz val="14"/>
        <color theme="1"/>
        <rFont val="Calibri"/>
        <family val="2"/>
        <scheme val="minor"/>
      </rPr>
      <t>= Tons</t>
    </r>
    <r>
      <rPr>
        <vertAlign val="subscript"/>
        <sz val="14"/>
        <color theme="1"/>
        <rFont val="Calibri"/>
        <family val="2"/>
        <scheme val="minor"/>
      </rPr>
      <t>new</t>
    </r>
    <r>
      <rPr>
        <sz val="14"/>
        <color theme="1"/>
        <rFont val="Calibri"/>
        <family val="2"/>
        <scheme val="minor"/>
      </rPr>
      <t xml:space="preserve"> x (12/EER</t>
    </r>
    <r>
      <rPr>
        <vertAlign val="subscript"/>
        <sz val="14"/>
        <color theme="1"/>
        <rFont val="Calibri"/>
        <family val="2"/>
        <scheme val="minor"/>
      </rPr>
      <t>base</t>
    </r>
    <r>
      <rPr>
        <sz val="14"/>
        <color theme="1"/>
        <rFont val="Calibri"/>
        <family val="2"/>
        <scheme val="minor"/>
      </rPr>
      <t xml:space="preserve"> – 12/EER</t>
    </r>
    <r>
      <rPr>
        <vertAlign val="subscript"/>
        <sz val="14"/>
        <color theme="1"/>
        <rFont val="Calibri"/>
        <family val="2"/>
        <scheme val="minor"/>
      </rPr>
      <t>new</t>
    </r>
    <r>
      <rPr>
        <sz val="14"/>
        <color theme="1"/>
        <rFont val="Calibri"/>
        <family val="2"/>
        <scheme val="minor"/>
      </rPr>
      <t>)</t>
    </r>
  </si>
  <si>
    <t>1. Determine Path A or Path B for given size of equipment</t>
  </si>
  <si>
    <t>Path A kWh</t>
  </si>
  <si>
    <t>2. Determine if EER meets minimum based on size and path</t>
  </si>
  <si>
    <t>Path A Icentive</t>
  </si>
  <si>
    <t>Qualification criteria calculations applied prior to calculation of Indicators</t>
  </si>
  <si>
    <t>3. Calculate kW at the meter</t>
  </si>
  <si>
    <t>4. Calculate Program Indicators</t>
  </si>
  <si>
    <t>Path B SkW</t>
  </si>
  <si>
    <t>Transformation equations to SkW, WkW, GWh, Incentive:</t>
  </si>
  <si>
    <t>Path B WkW</t>
  </si>
  <si>
    <r>
      <t>Indicator = Factor per kW x kW</t>
    </r>
    <r>
      <rPr>
        <vertAlign val="subscript"/>
        <sz val="14"/>
        <color theme="1"/>
        <rFont val="Calibri"/>
        <family val="2"/>
        <scheme val="minor"/>
      </rPr>
      <t>on premise</t>
    </r>
  </si>
  <si>
    <t>Path B kWh</t>
  </si>
  <si>
    <t>Path B Icentive</t>
  </si>
  <si>
    <t>Air Cooled Chiller Calculation</t>
  </si>
  <si>
    <r>
      <rPr>
        <b/>
        <sz val="14"/>
        <color rgb="FF000000"/>
        <rFont val="Cambria"/>
      </rPr>
      <t>Required Inputs:</t>
    </r>
    <r>
      <rPr>
        <b/>
        <sz val="14"/>
        <color rgb="FFFF0000"/>
        <rFont val="Cambria"/>
      </rPr>
      <t xml:space="preserve"> Chiller AC Tonage, EER, IPLV</t>
    </r>
  </si>
  <si>
    <t>Job Specific Inputs</t>
  </si>
  <si>
    <t xml:space="preserve">Air Cooled </t>
  </si>
  <si>
    <t>Air Cooled</t>
  </si>
  <si>
    <t>Program</t>
  </si>
  <si>
    <t>Chillers</t>
  </si>
  <si>
    <t>Nameplate AC Type</t>
  </si>
  <si>
    <t>Type</t>
  </si>
  <si>
    <t>Nameplate AC Tonage</t>
  </si>
  <si>
    <t>ac_ACTons</t>
  </si>
  <si>
    <t>Nameplate Efficiency (EER or kW/ton)</t>
  </si>
  <si>
    <t>Nameplate EER</t>
  </si>
  <si>
    <t>ac_EERN</t>
  </si>
  <si>
    <t>Nameplate IPLV (EER or kW/ton)</t>
  </si>
  <si>
    <t>Nameplate IPLV</t>
  </si>
  <si>
    <t>ac_IPLVN</t>
  </si>
  <si>
    <t>Results</t>
  </si>
  <si>
    <t xml:space="preserve">Check 1 </t>
  </si>
  <si>
    <t>Does it pass IPLV and then the path</t>
  </si>
  <si>
    <t>Summer kW</t>
  </si>
  <si>
    <t>Check 2</t>
  </si>
  <si>
    <t>Does it meet minimum EER</t>
  </si>
  <si>
    <t>Winter kW</t>
  </si>
  <si>
    <t>kWh</t>
  </si>
  <si>
    <t>Incentive</t>
  </si>
  <si>
    <t>DNQ = DOES NOT QUALIFY</t>
  </si>
  <si>
    <t>For additional support:</t>
  </si>
  <si>
    <t>Business HVAC Program Support:</t>
  </si>
  <si>
    <t>Mike.Catarzi@fpl.com</t>
  </si>
  <si>
    <t>Gary.R.Reynolds@fpl.com</t>
  </si>
  <si>
    <t>Busines HVAC Technical Support:</t>
  </si>
  <si>
    <t>Chi.Lui@fpl.com</t>
  </si>
  <si>
    <t>Abel.Alonso@fpl.com</t>
  </si>
  <si>
    <t>Water Cooled Centrifugal</t>
  </si>
  <si>
    <t>WC Centrigugal Path</t>
  </si>
  <si>
    <t>wcc_Path</t>
  </si>
  <si>
    <t>Path LT151</t>
  </si>
  <si>
    <t>wcc_PathLT150</t>
  </si>
  <si>
    <t>Path 150 to 300 Above</t>
  </si>
  <si>
    <t>wcc_Path151to300</t>
  </si>
  <si>
    <t>Path 300 to 400 Above</t>
  </si>
  <si>
    <t>wcc_PathLT301to400</t>
  </si>
  <si>
    <t>Path 400 to 600 Above</t>
  </si>
  <si>
    <t>wcc_PathLT401to600</t>
  </si>
  <si>
    <t>Path GT 600</t>
  </si>
  <si>
    <t>wcc_PathGT600</t>
  </si>
  <si>
    <r>
      <t>Indicator = Factor</t>
    </r>
    <r>
      <rPr>
        <vertAlign val="subscript"/>
        <sz val="14"/>
        <color theme="1"/>
        <rFont val="Calibri"/>
        <family val="2"/>
        <scheme val="minor"/>
      </rPr>
      <t>per kW</t>
    </r>
    <r>
      <rPr>
        <sz val="14"/>
        <color theme="1"/>
        <rFont val="Calibri"/>
        <family val="2"/>
        <scheme val="minor"/>
      </rPr>
      <t xml:space="preserve"> x kW</t>
    </r>
    <r>
      <rPr>
        <vertAlign val="subscript"/>
        <sz val="14"/>
        <color theme="1"/>
        <rFont val="Calibri"/>
        <family val="2"/>
        <scheme val="minor"/>
      </rPr>
      <t>on premise</t>
    </r>
  </si>
  <si>
    <t>wcc_PathA_SkW</t>
  </si>
  <si>
    <t>wcc_PathA_WkW</t>
  </si>
  <si>
    <t>wcc_PathA_kWh</t>
  </si>
  <si>
    <t>wcc_PathA_Inc</t>
  </si>
  <si>
    <t>Path A SkW LT150</t>
  </si>
  <si>
    <t>wcc_PA_ SkWLT150</t>
  </si>
  <si>
    <t>Path A WkW LT151</t>
  </si>
  <si>
    <t>wcc_PA_ WkWLT150</t>
  </si>
  <si>
    <t>Path A kWh LT151</t>
  </si>
  <si>
    <t>wcc_PA_ kWhLT150</t>
  </si>
  <si>
    <t>Path A Inc LT151</t>
  </si>
  <si>
    <t>wcc_PA_ IncLT150</t>
  </si>
  <si>
    <t>Path A SkW 150 to 300</t>
  </si>
  <si>
    <t>wcc_PA_ SkW151to300</t>
  </si>
  <si>
    <t>Path A WkW 150 to 300</t>
  </si>
  <si>
    <t>wcc_PA_ WkW151to300</t>
  </si>
  <si>
    <t>Path A kWh 150 to 300</t>
  </si>
  <si>
    <t>wcc_PA_ kWh151to300</t>
  </si>
  <si>
    <t>Path A Inc 150 to 300</t>
  </si>
  <si>
    <t>wcc_PA_ Inc151to300</t>
  </si>
  <si>
    <t>Path A SkW 300 to 400</t>
  </si>
  <si>
    <t>wcc_PA_ SkW301to400</t>
  </si>
  <si>
    <t>Path A WkW 300 to 400</t>
  </si>
  <si>
    <t>wcc_PA_ WkW301to400</t>
  </si>
  <si>
    <t>Path A kWh 300 to 400</t>
  </si>
  <si>
    <t>wcc_PA_ kWh301to400</t>
  </si>
  <si>
    <t>Path A Inc 300 to 400</t>
  </si>
  <si>
    <t>wcc_PA_ Inc301to400</t>
  </si>
  <si>
    <t>Path A SkW 400 to 600</t>
  </si>
  <si>
    <t>wcc_PA_ SkW401to600</t>
  </si>
  <si>
    <t>Path A WkW 400 to 600</t>
  </si>
  <si>
    <t>wcc_PA_ WkW401to600</t>
  </si>
  <si>
    <t>Path A kWh 400 to 600</t>
  </si>
  <si>
    <t>wcc_PA_ kWh401to600</t>
  </si>
  <si>
    <t>Path A Inc 400 to 600</t>
  </si>
  <si>
    <t>wcc_PA_ Inc401to600</t>
  </si>
  <si>
    <t>Path A SkW GT 600</t>
  </si>
  <si>
    <t>wcc_PA_ SkWGT600</t>
  </si>
  <si>
    <t>Path A WkW GT 600</t>
  </si>
  <si>
    <t>wcc_PA_ WkWGT600</t>
  </si>
  <si>
    <t>Path A kWh GT 600</t>
  </si>
  <si>
    <t>wcc_PA_ kWhGT600</t>
  </si>
  <si>
    <t>Path A Inc GT 600</t>
  </si>
  <si>
    <t>wcc_PA_ IncGT600</t>
  </si>
  <si>
    <t>wcc_PB_SkW</t>
  </si>
  <si>
    <t>wcc_PB_WkW</t>
  </si>
  <si>
    <t>wcc_PB_kWh</t>
  </si>
  <si>
    <t>wcc_PB_Inc</t>
  </si>
  <si>
    <t>Path B SkW LT150</t>
  </si>
  <si>
    <t>wcc_PB_ SkWLT150</t>
  </si>
  <si>
    <t>Path B WkW LT151</t>
  </si>
  <si>
    <t>wcc_PB_ WkWLT150</t>
  </si>
  <si>
    <t>Path B kWh LT151</t>
  </si>
  <si>
    <t>wcc_PB_ kWhLT150</t>
  </si>
  <si>
    <t>Path B Inc LT151</t>
  </si>
  <si>
    <t>wcc_PB_ IncLT150</t>
  </si>
  <si>
    <t>Path B SkW 150 to 300</t>
  </si>
  <si>
    <t>wcc_PB_ SkW151to300</t>
  </si>
  <si>
    <t>Path B WkW 150 to 300</t>
  </si>
  <si>
    <t>wcc_PB_ WkW151to300</t>
  </si>
  <si>
    <t>Path B kWh 150 to 300</t>
  </si>
  <si>
    <t>wcc_PB_ kWh151to300</t>
  </si>
  <si>
    <t>Path B Inc 150 to 300</t>
  </si>
  <si>
    <t>wcc_PB_ Inc151to300</t>
  </si>
  <si>
    <t>Path B SkW 300 to 400</t>
  </si>
  <si>
    <t>wcc_PB_ SkW301to400</t>
  </si>
  <si>
    <t>Path B WkW 300 to 400</t>
  </si>
  <si>
    <t>wcc_PB_ WkW301to400</t>
  </si>
  <si>
    <t>Path B kWh 300 to 400</t>
  </si>
  <si>
    <t>wcc_PB_ kWh301to400</t>
  </si>
  <si>
    <t>Path B Inc 300 to 400</t>
  </si>
  <si>
    <t>wcc_PB_ Inc301to400</t>
  </si>
  <si>
    <t>Path B SkW 400 to 600</t>
  </si>
  <si>
    <t>wcc_PB_ SkW401to600</t>
  </si>
  <si>
    <t>Path B WkW 400 to 600</t>
  </si>
  <si>
    <t>wcc_PB_ WkW401to600</t>
  </si>
  <si>
    <t>Path B kWh 400 to 600</t>
  </si>
  <si>
    <t>wcc_PB_ kWh401to600</t>
  </si>
  <si>
    <t>Path B Inc 400 to 600</t>
  </si>
  <si>
    <t>wcc_PB_ Inc401to600</t>
  </si>
  <si>
    <t>Path B SkW GT 600</t>
  </si>
  <si>
    <t>wcc_PB_ SkWGT600</t>
  </si>
  <si>
    <t>Path B WkW GT 600</t>
  </si>
  <si>
    <t>wcc_PB_ WkWGT600</t>
  </si>
  <si>
    <t>Path B kWh GT 600</t>
  </si>
  <si>
    <t>wcc_PB_ kWhGT600</t>
  </si>
  <si>
    <t>Path B Inc GT 600</t>
  </si>
  <si>
    <t>wcc_PB_ IncGT600</t>
  </si>
  <si>
    <t>Water Cooled Centrifugal Chiller Calculation</t>
  </si>
  <si>
    <t>Variable Code</t>
  </si>
  <si>
    <t>Water Cooled</t>
  </si>
  <si>
    <t>Centrifugal</t>
  </si>
  <si>
    <t xml:space="preserve">Nameplate AC Tonage </t>
  </si>
  <si>
    <t>wcc_ACTons</t>
  </si>
  <si>
    <t>wcc_EERN</t>
  </si>
  <si>
    <t>wcc_IPLVN</t>
  </si>
  <si>
    <t>Water Cooled Positive Displacement</t>
  </si>
  <si>
    <t>WC Pos Disp Path</t>
  </si>
  <si>
    <t>wcp_Path</t>
  </si>
  <si>
    <t>Path LT75</t>
  </si>
  <si>
    <t>wcp_PathLT75</t>
  </si>
  <si>
    <t>Path 75 to 150</t>
  </si>
  <si>
    <t>wcp_Path76to150</t>
  </si>
  <si>
    <t>Path 150 to 300</t>
  </si>
  <si>
    <t>wcp_PathLT151to300</t>
  </si>
  <si>
    <t>Path 300 to 600</t>
  </si>
  <si>
    <t>wcp_PathLT301to600</t>
  </si>
  <si>
    <t>wcp_PathGT600</t>
  </si>
  <si>
    <t>Path A Inc</t>
  </si>
  <si>
    <t>wcp_PA_SkW</t>
  </si>
  <si>
    <t>wcp_PA_WkW</t>
  </si>
  <si>
    <t>wcp_PA_kWh</t>
  </si>
  <si>
    <t>wcp_PA_Inc</t>
  </si>
  <si>
    <t>wcp_PA_ WkWLT150</t>
  </si>
  <si>
    <t>wcp_PA_ kWhLT150</t>
  </si>
  <si>
    <t>wcp_PA_ IncLT150</t>
  </si>
  <si>
    <t>wcp_PA_ WkW151to300</t>
  </si>
  <si>
    <t>wcp_PA_ kWh151to300</t>
  </si>
  <si>
    <t>wcp_PA_ Inc151to300</t>
  </si>
  <si>
    <t>wcp_PA_ WkW301to400</t>
  </si>
  <si>
    <t>wcp_PA_ kWh301to400</t>
  </si>
  <si>
    <t>wcp_PA_ Inc301to400</t>
  </si>
  <si>
    <t>wcp_PA_ WkW401to600</t>
  </si>
  <si>
    <t>wcp_PA_ kWh401to600</t>
  </si>
  <si>
    <t>wcp_PA_ Inc401to600</t>
  </si>
  <si>
    <t>wcp_PA_ WkWGT600</t>
  </si>
  <si>
    <t>wcp_PA_ kWhGT600</t>
  </si>
  <si>
    <t>wcp_PA_ IncGT600</t>
  </si>
  <si>
    <t>Path B Inc</t>
  </si>
  <si>
    <t>wcp_PB_SkW</t>
  </si>
  <si>
    <t>wcp_PB_WkW</t>
  </si>
  <si>
    <t>wcp_PB_kWh</t>
  </si>
  <si>
    <t>wcp_PB_Inc</t>
  </si>
  <si>
    <t>wcp_PB_ WkWLT150</t>
  </si>
  <si>
    <t>wcp_PB_ kWhLT150</t>
  </si>
  <si>
    <t>wcp_PB_ IncLT150</t>
  </si>
  <si>
    <t>wcp_PB_ WkW151to300</t>
  </si>
  <si>
    <t>wcp_PB_ kWh151to300</t>
  </si>
  <si>
    <t>wcp_PB_ Inc151to300</t>
  </si>
  <si>
    <t>wcp_PB_ WkW301to400</t>
  </si>
  <si>
    <t>wcp_PB_ kWh301to400</t>
  </si>
  <si>
    <t>wcp_PB_ Inc301to400</t>
  </si>
  <si>
    <t>wcp_PB_ WkW401to600</t>
  </si>
  <si>
    <t>wcp_PB_ kWh401to600</t>
  </si>
  <si>
    <t>wcp_PB_ Inc401to600</t>
  </si>
  <si>
    <t>wcp_PB_ WkWGT600</t>
  </si>
  <si>
    <t>wcp_PB_ kWhGT600</t>
  </si>
  <si>
    <t>wcp_PB_ IncGT600</t>
  </si>
  <si>
    <t>Water Cooled Positive Displacement Chiller Calculation</t>
  </si>
  <si>
    <t>Pos Displacement</t>
  </si>
  <si>
    <t>wcp_ACTons</t>
  </si>
  <si>
    <t>wcp_EERN</t>
  </si>
  <si>
    <t>wcp_IPLVN</t>
  </si>
  <si>
    <t>Mike_Catarzi@fpl.com</t>
  </si>
  <si>
    <t>Chi_Lui@fpl.com</t>
  </si>
  <si>
    <t>Number of like units installed</t>
  </si>
  <si>
    <t>If multiple units</t>
  </si>
  <si>
    <t>Number of like Units Installed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</si>
</sst>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0.000"/>
    <numFmt numFmtId="169" formatCode="0.000000000000000"/>
    <numFmt numFmtId="170" formatCode="0.0000"/>
    <numFmt numFmtId="171" formatCode="0.00000"/>
    <numFmt numFmtId="172" formatCode="0.000000"/>
  </numFmts>
  <fonts count="4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FF00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mbria"/>
    </font>
    <font>
      <b/>
      <sz val="14"/>
      <color theme="1"/>
      <name val="Cambria"/>
    </font>
    <font>
      <b/>
      <sz val="14"/>
      <color rgb="FFFF0000"/>
      <name val="Cambria"/>
    </font>
    <font>
      <b/>
      <sz val="14"/>
      <color rgb="FF000000"/>
      <name val="Cambria"/>
    </font>
    <font>
      <b/>
      <sz val="18"/>
      <color rgb="FFFFFFFF"/>
      <name val="Cambria"/>
    </font>
    <font>
      <sz val="11"/>
      <color theme="1"/>
      <name val="Calibri"/>
    </font>
    <font>
      <b/>
      <sz val="11"/>
      <color rgb="FFFFFFFF"/>
      <name val="Calibri"/>
    </font>
    <font>
      <u/>
      <sz val="11"/>
      <color theme="10"/>
      <name val="Calibri"/>
      <family val="2"/>
      <scheme val="minor"/>
    </font>
    <font>
      <b/>
      <sz val="18"/>
      <color rgb="FF000000"/>
      <name val="Cambria"/>
    </font>
    <font>
      <b/>
      <sz val="11"/>
      <color rgb="FF000000"/>
      <name val="Calibri"/>
      <family val="2"/>
      <scheme val="minor"/>
    </font>
    <font>
      <sz val="12"/>
      <color rgb="FFFFFFFF"/>
      <name val="Calibri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</font>
    <font>
      <b/>
      <sz val="11"/>
      <color rgb="FFFF0000"/>
      <name val="Calibri"/>
    </font>
    <font>
      <b/>
      <sz val="16"/>
      <color rgb="FF000000"/>
      <name val="Cambria"/>
      <family val="1"/>
    </font>
    <font>
      <sz val="1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05496"/>
        <bgColor indexed="64"/>
      </patternFill>
    </fill>
  </fills>
  <borders count="41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2060"/>
      </right>
      <top/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7030A0"/>
      </left>
      <right style="thin">
        <color rgb="FF000000"/>
      </right>
      <top style="thin">
        <color rgb="FF7030A0"/>
      </top>
      <bottom style="thin">
        <color rgb="FF7030A0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7030A0"/>
      </left>
      <right style="thin">
        <color rgb="FF000000"/>
      </right>
      <top style="thin">
        <color rgb="FF7030A0"/>
      </top>
      <bottom style="thin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030A0"/>
      </left>
      <right style="thin">
        <color rgb="FF000000"/>
      </right>
      <top/>
      <bottom style="thin">
        <color rgb="FF7030A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196">
    <xf numFmtId="0" fontId="0" fillId="0" borderId="0" xfId="0"/>
    <xf numFmtId="165" fontId="0" fillId="0" borderId="0" xfId="3" applyNumberFormat="1" applyFont="1"/>
    <xf numFmtId="0" fontId="5" fillId="0" borderId="0" xfId="0" applyFont="1"/>
    <xf numFmtId="166" fontId="0" fillId="0" borderId="0" xfId="2" applyNumberFormat="1" applyFont="1"/>
    <xf numFmtId="167" fontId="0" fillId="0" borderId="0" xfId="1" applyNumberFormat="1" applyFont="1"/>
    <xf numFmtId="0" fontId="5" fillId="2" borderId="0" xfId="0" applyFont="1" applyFill="1"/>
    <xf numFmtId="2" fontId="5" fillId="2" borderId="0" xfId="0" applyNumberFormat="1" applyFont="1" applyFill="1"/>
    <xf numFmtId="0" fontId="0" fillId="2" borderId="0" xfId="0" applyFill="1"/>
    <xf numFmtId="0" fontId="12" fillId="5" borderId="0" xfId="0" applyFont="1" applyFill="1"/>
    <xf numFmtId="9" fontId="12" fillId="5" borderId="0" xfId="3" applyFont="1" applyFill="1"/>
    <xf numFmtId="0" fontId="6" fillId="2" borderId="0" xfId="0" applyFont="1" applyFill="1"/>
    <xf numFmtId="0" fontId="3" fillId="0" borderId="0" xfId="0" applyFont="1"/>
    <xf numFmtId="0" fontId="4" fillId="0" borderId="0" xfId="0" applyFont="1"/>
    <xf numFmtId="168" fontId="11" fillId="0" borderId="0" xfId="0" applyNumberFormat="1" applyFont="1"/>
    <xf numFmtId="2" fontId="8" fillId="3" borderId="0" xfId="4" applyNumberFormat="1" applyBorder="1"/>
    <xf numFmtId="2" fontId="11" fillId="0" borderId="0" xfId="0" applyNumberFormat="1" applyFont="1"/>
    <xf numFmtId="168" fontId="5" fillId="0" borderId="0" xfId="0" applyNumberFormat="1" applyFont="1"/>
    <xf numFmtId="0" fontId="6" fillId="2" borderId="3" xfId="0" applyFont="1" applyFill="1" applyBorder="1"/>
    <xf numFmtId="0" fontId="0" fillId="0" borderId="4" xfId="0" applyBorder="1"/>
    <xf numFmtId="0" fontId="0" fillId="0" borderId="3" xfId="0" applyBorder="1"/>
    <xf numFmtId="0" fontId="3" fillId="0" borderId="3" xfId="0" applyFont="1" applyBorder="1"/>
    <xf numFmtId="0" fontId="6" fillId="2" borderId="4" xfId="0" applyFont="1" applyFill="1" applyBorder="1"/>
    <xf numFmtId="0" fontId="4" fillId="0" borderId="3" xfId="0" applyFont="1" applyBorder="1"/>
    <xf numFmtId="0" fontId="8" fillId="3" borderId="4" xfId="4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7" xfId="0" applyBorder="1"/>
    <xf numFmtId="2" fontId="5" fillId="0" borderId="0" xfId="0" applyNumberFormat="1" applyFont="1"/>
    <xf numFmtId="2" fontId="5" fillId="0" borderId="6" xfId="0" applyNumberFormat="1" applyFont="1" applyBorder="1"/>
    <xf numFmtId="2" fontId="11" fillId="0" borderId="8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11" fillId="0" borderId="8" xfId="0" applyNumberFormat="1" applyFont="1" applyBorder="1"/>
    <xf numFmtId="2" fontId="11" fillId="0" borderId="9" xfId="0" applyNumberFormat="1" applyFont="1" applyBorder="1"/>
    <xf numFmtId="2" fontId="11" fillId="0" borderId="10" xfId="0" applyNumberFormat="1" applyFont="1" applyBorder="1"/>
    <xf numFmtId="2" fontId="11" fillId="0" borderId="11" xfId="0" applyNumberFormat="1" applyFont="1" applyBorder="1"/>
    <xf numFmtId="0" fontId="5" fillId="0" borderId="8" xfId="0" applyFont="1" applyBorder="1"/>
    <xf numFmtId="2" fontId="5" fillId="0" borderId="9" xfId="0" applyNumberFormat="1" applyFont="1" applyBorder="1"/>
    <xf numFmtId="0" fontId="5" fillId="0" borderId="10" xfId="0" applyFont="1" applyBorder="1"/>
    <xf numFmtId="2" fontId="5" fillId="0" borderId="11" xfId="0" applyNumberFormat="1" applyFont="1" applyBorder="1"/>
    <xf numFmtId="2" fontId="11" fillId="0" borderId="12" xfId="0" applyNumberFormat="1" applyFont="1" applyBorder="1" applyAlignment="1">
      <alignment horizontal="right"/>
    </xf>
    <xf numFmtId="2" fontId="11" fillId="0" borderId="13" xfId="0" applyNumberFormat="1" applyFont="1" applyBorder="1" applyAlignment="1">
      <alignment horizontal="right"/>
    </xf>
    <xf numFmtId="0" fontId="5" fillId="0" borderId="12" xfId="0" applyFont="1" applyBorder="1"/>
    <xf numFmtId="2" fontId="5" fillId="0" borderId="13" xfId="0" applyNumberFormat="1" applyFont="1" applyBorder="1"/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9" fillId="4" borderId="3" xfId="0" applyFont="1" applyFill="1" applyBorder="1"/>
    <xf numFmtId="0" fontId="9" fillId="4" borderId="0" xfId="0" applyFont="1" applyFill="1"/>
    <xf numFmtId="0" fontId="9" fillId="4" borderId="0" xfId="0" applyFont="1" applyFill="1" applyAlignment="1">
      <alignment horizontal="right"/>
    </xf>
    <xf numFmtId="0" fontId="0" fillId="4" borderId="4" xfId="0" applyFill="1" applyBorder="1"/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4" borderId="3" xfId="0" applyFont="1" applyFill="1" applyBorder="1"/>
    <xf numFmtId="0" fontId="5" fillId="4" borderId="0" xfId="0" applyFont="1" applyFill="1"/>
    <xf numFmtId="2" fontId="5" fillId="4" borderId="0" xfId="0" applyNumberFormat="1" applyFont="1" applyFill="1" applyAlignment="1">
      <alignment horizontal="right"/>
    </xf>
    <xf numFmtId="165" fontId="0" fillId="0" borderId="0" xfId="3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6" fontId="0" fillId="0" borderId="0" xfId="2" applyNumberFormat="1" applyFont="1" applyBorder="1" applyAlignment="1">
      <alignment horizontal="right"/>
    </xf>
    <xf numFmtId="0" fontId="0" fillId="4" borderId="5" xfId="0" applyFill="1" applyBorder="1"/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0" fillId="4" borderId="7" xfId="0" applyFill="1" applyBorder="1"/>
    <xf numFmtId="0" fontId="18" fillId="0" borderId="0" xfId="0" applyFont="1"/>
    <xf numFmtId="0" fontId="19" fillId="8" borderId="16" xfId="4" applyFont="1" applyFill="1" applyBorder="1"/>
    <xf numFmtId="0" fontId="19" fillId="8" borderId="17" xfId="4" applyFont="1" applyFill="1" applyBorder="1"/>
    <xf numFmtId="0" fontId="0" fillId="8" borderId="18" xfId="0" applyFill="1" applyBorder="1"/>
    <xf numFmtId="0" fontId="0" fillId="7" borderId="0" xfId="0" applyFill="1"/>
    <xf numFmtId="43" fontId="0" fillId="6" borderId="1" xfId="1" applyFont="1" applyFill="1" applyBorder="1" applyProtection="1"/>
    <xf numFmtId="0" fontId="13" fillId="0" borderId="0" xfId="0" applyFont="1" applyAlignment="1">
      <alignment vertical="center"/>
    </xf>
    <xf numFmtId="167" fontId="0" fillId="6" borderId="1" xfId="1" applyNumberFormat="1" applyFont="1" applyFill="1" applyBorder="1" applyProtection="1"/>
    <xf numFmtId="44" fontId="0" fillId="6" borderId="1" xfId="2" applyFont="1" applyFill="1" applyBorder="1" applyProtection="1"/>
    <xf numFmtId="0" fontId="19" fillId="8" borderId="25" xfId="4" applyFont="1" applyFill="1" applyBorder="1" applyProtection="1"/>
    <xf numFmtId="0" fontId="19" fillId="8" borderId="26" xfId="4" applyFont="1" applyFill="1" applyBorder="1" applyProtection="1"/>
    <xf numFmtId="0" fontId="19" fillId="8" borderId="22" xfId="4" applyFont="1" applyFill="1" applyBorder="1" applyProtection="1"/>
    <xf numFmtId="0" fontId="19" fillId="8" borderId="23" xfId="4" applyFont="1" applyFill="1" applyBorder="1" applyProtection="1"/>
    <xf numFmtId="0" fontId="15" fillId="0" borderId="0" xfId="0" applyFont="1"/>
    <xf numFmtId="0" fontId="17" fillId="0" borderId="0" xfId="0" applyFont="1" applyAlignment="1">
      <alignment vertical="center"/>
    </xf>
    <xf numFmtId="0" fontId="8" fillId="3" borderId="0" xfId="4" applyProtection="1"/>
    <xf numFmtId="0" fontId="16" fillId="8" borderId="0" xfId="4" applyFont="1" applyFill="1" applyProtection="1"/>
    <xf numFmtId="2" fontId="8" fillId="3" borderId="0" xfId="4" applyNumberFormat="1" applyProtection="1"/>
    <xf numFmtId="43" fontId="0" fillId="0" borderId="0" xfId="0" applyNumberFormat="1"/>
    <xf numFmtId="43" fontId="8" fillId="3" borderId="0" xfId="4" applyNumberFormat="1" applyProtection="1"/>
    <xf numFmtId="44" fontId="8" fillId="3" borderId="0" xfId="4" applyNumberFormat="1" applyProtection="1"/>
    <xf numFmtId="2" fontId="0" fillId="0" borderId="0" xfId="0" applyNumberFormat="1"/>
    <xf numFmtId="43" fontId="7" fillId="0" borderId="0" xfId="1" applyFont="1" applyProtection="1"/>
    <xf numFmtId="44" fontId="7" fillId="0" borderId="0" xfId="2" applyFont="1" applyProtection="1"/>
    <xf numFmtId="0" fontId="7" fillId="0" borderId="0" xfId="0" applyFont="1"/>
    <xf numFmtId="0" fontId="9" fillId="4" borderId="19" xfId="0" applyFont="1" applyFill="1" applyBorder="1"/>
    <xf numFmtId="0" fontId="9" fillId="4" borderId="20" xfId="0" applyFont="1" applyFill="1" applyBorder="1"/>
    <xf numFmtId="0" fontId="6" fillId="2" borderId="22" xfId="0" applyFont="1" applyFill="1" applyBorder="1"/>
    <xf numFmtId="0" fontId="6" fillId="2" borderId="23" xfId="0" applyFont="1" applyFill="1" applyBorder="1"/>
    <xf numFmtId="0" fontId="6" fillId="2" borderId="24" xfId="0" applyFont="1" applyFill="1" applyBorder="1"/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8" borderId="0" xfId="4" applyFont="1" applyFill="1" applyProtection="1"/>
    <xf numFmtId="2" fontId="16" fillId="8" borderId="0" xfId="4" applyNumberFormat="1" applyFont="1" applyFill="1" applyProtection="1"/>
    <xf numFmtId="167" fontId="8" fillId="3" borderId="0" xfId="1" applyNumberFormat="1" applyFont="1" applyFill="1" applyProtection="1"/>
    <xf numFmtId="167" fontId="0" fillId="0" borderId="0" xfId="1" applyNumberFormat="1" applyFont="1" applyProtection="1"/>
    <xf numFmtId="167" fontId="7" fillId="0" borderId="0" xfId="1" applyNumberFormat="1" applyFont="1" applyProtection="1"/>
    <xf numFmtId="0" fontId="16" fillId="0" borderId="23" xfId="0" applyFont="1" applyBorder="1" applyAlignment="1" applyProtection="1">
      <alignment horizontal="right"/>
      <protection locked="0"/>
    </xf>
    <xf numFmtId="0" fontId="22" fillId="0" borderId="0" xfId="0" applyFont="1"/>
    <xf numFmtId="0" fontId="24" fillId="7" borderId="0" xfId="0" applyFont="1" applyFill="1"/>
    <xf numFmtId="0" fontId="9" fillId="7" borderId="3" xfId="0" applyFont="1" applyFill="1" applyBorder="1"/>
    <xf numFmtId="0" fontId="0" fillId="7" borderId="3" xfId="0" applyFill="1" applyBorder="1"/>
    <xf numFmtId="0" fontId="13" fillId="7" borderId="0" xfId="0" applyFont="1" applyFill="1" applyAlignment="1">
      <alignment vertical="center"/>
    </xf>
    <xf numFmtId="0" fontId="25" fillId="7" borderId="0" xfId="0" applyFont="1" applyFill="1"/>
    <xf numFmtId="0" fontId="25" fillId="0" borderId="0" xfId="0" applyFont="1"/>
    <xf numFmtId="0" fontId="26" fillId="7" borderId="0" xfId="0" applyFont="1" applyFill="1"/>
    <xf numFmtId="0" fontId="10" fillId="7" borderId="28" xfId="0" applyFont="1" applyFill="1" applyBorder="1" applyAlignment="1">
      <alignment horizontal="right"/>
    </xf>
    <xf numFmtId="0" fontId="10" fillId="7" borderId="29" xfId="0" applyFont="1" applyFill="1" applyBorder="1" applyAlignment="1">
      <alignment horizontal="right"/>
    </xf>
    <xf numFmtId="0" fontId="19" fillId="9" borderId="22" xfId="4" applyFont="1" applyFill="1" applyBorder="1" applyProtection="1"/>
    <xf numFmtId="0" fontId="19" fillId="9" borderId="23" xfId="4" applyFont="1" applyFill="1" applyBorder="1" applyProtection="1"/>
    <xf numFmtId="0" fontId="19" fillId="9" borderId="24" xfId="4" applyFont="1" applyFill="1" applyBorder="1" applyProtection="1"/>
    <xf numFmtId="0" fontId="0" fillId="10" borderId="30" xfId="0" applyFill="1" applyBorder="1"/>
    <xf numFmtId="0" fontId="29" fillId="10" borderId="31" xfId="0" applyFont="1" applyFill="1" applyBorder="1" applyAlignment="1">
      <alignment horizontal="right"/>
    </xf>
    <xf numFmtId="0" fontId="10" fillId="7" borderId="0" xfId="0" applyFont="1" applyFill="1" applyAlignment="1">
      <alignment horizontal="right"/>
    </xf>
    <xf numFmtId="0" fontId="29" fillId="10" borderId="33" xfId="0" applyFont="1" applyFill="1" applyBorder="1" applyAlignment="1">
      <alignment horizontal="right"/>
    </xf>
    <xf numFmtId="0" fontId="16" fillId="9" borderId="35" xfId="0" applyFont="1" applyFill="1" applyBorder="1"/>
    <xf numFmtId="0" fontId="0" fillId="7" borderId="36" xfId="0" applyFill="1" applyBorder="1"/>
    <xf numFmtId="0" fontId="0" fillId="9" borderId="37" xfId="0" applyFill="1" applyBorder="1"/>
    <xf numFmtId="43" fontId="6" fillId="6" borderId="32" xfId="1" applyFont="1" applyFill="1" applyBorder="1" applyProtection="1"/>
    <xf numFmtId="167" fontId="6" fillId="6" borderId="32" xfId="1" applyNumberFormat="1" applyFont="1" applyFill="1" applyBorder="1" applyProtection="1"/>
    <xf numFmtId="44" fontId="6" fillId="6" borderId="34" xfId="2" applyFont="1" applyFill="1" applyBorder="1" applyProtection="1"/>
    <xf numFmtId="0" fontId="6" fillId="9" borderId="22" xfId="0" applyFont="1" applyFill="1" applyBorder="1"/>
    <xf numFmtId="0" fontId="6" fillId="9" borderId="23" xfId="0" applyFont="1" applyFill="1" applyBorder="1"/>
    <xf numFmtId="0" fontId="6" fillId="9" borderId="24" xfId="0" applyFont="1" applyFill="1" applyBorder="1"/>
    <xf numFmtId="0" fontId="30" fillId="7" borderId="0" xfId="0" applyFont="1" applyFill="1"/>
    <xf numFmtId="0" fontId="27" fillId="11" borderId="0" xfId="5" applyFill="1"/>
    <xf numFmtId="0" fontId="31" fillId="7" borderId="0" xfId="0" applyFont="1" applyFill="1" applyAlignment="1">
      <alignment horizontal="right"/>
    </xf>
    <xf numFmtId="44" fontId="7" fillId="7" borderId="0" xfId="2" applyFont="1" applyFill="1" applyProtection="1"/>
    <xf numFmtId="0" fontId="20" fillId="7" borderId="0" xfId="0" applyFont="1" applyFill="1"/>
    <xf numFmtId="0" fontId="0" fillId="7" borderId="21" xfId="0" applyFill="1" applyBorder="1"/>
    <xf numFmtId="0" fontId="0" fillId="7" borderId="24" xfId="0" applyFill="1" applyBorder="1"/>
    <xf numFmtId="0" fontId="0" fillId="7" borderId="27" xfId="0" applyFill="1" applyBorder="1"/>
    <xf numFmtId="0" fontId="0" fillId="7" borderId="2" xfId="0" applyFill="1" applyBorder="1"/>
    <xf numFmtId="0" fontId="32" fillId="7" borderId="0" xfId="0" applyFont="1" applyFill="1"/>
    <xf numFmtId="0" fontId="3" fillId="12" borderId="0" xfId="0" applyFont="1" applyFill="1"/>
    <xf numFmtId="0" fontId="29" fillId="7" borderId="3" xfId="4" applyFont="1" applyFill="1" applyBorder="1" applyProtection="1"/>
    <xf numFmtId="0" fontId="29" fillId="7" borderId="0" xfId="4" applyFont="1" applyFill="1" applyBorder="1" applyProtection="1"/>
    <xf numFmtId="164" fontId="29" fillId="7" borderId="0" xfId="0" applyNumberFormat="1" applyFont="1" applyFill="1" applyAlignment="1" applyProtection="1">
      <alignment horizontal="right"/>
      <protection locked="0"/>
    </xf>
    <xf numFmtId="0" fontId="7" fillId="7" borderId="0" xfId="0" applyFont="1" applyFill="1"/>
    <xf numFmtId="0" fontId="21" fillId="7" borderId="0" xfId="0" applyFont="1" applyFill="1"/>
    <xf numFmtId="2" fontId="0" fillId="7" borderId="0" xfId="0" applyNumberFormat="1" applyFill="1"/>
    <xf numFmtId="0" fontId="9" fillId="7" borderId="21" xfId="0" applyFont="1" applyFill="1" applyBorder="1"/>
    <xf numFmtId="167" fontId="7" fillId="7" borderId="0" xfId="1" applyNumberFormat="1" applyFont="1" applyFill="1" applyProtection="1"/>
    <xf numFmtId="0" fontId="34" fillId="13" borderId="19" xfId="0" applyFont="1" applyFill="1" applyBorder="1" applyAlignment="1">
      <alignment horizontal="left"/>
    </xf>
    <xf numFmtId="0" fontId="34" fillId="13" borderId="0" xfId="0" applyFont="1" applyFill="1" applyAlignment="1">
      <alignment horizontal="left"/>
    </xf>
    <xf numFmtId="0" fontId="34" fillId="13" borderId="20" xfId="0" applyFont="1" applyFill="1" applyBorder="1" applyAlignment="1">
      <alignment horizontal="left"/>
    </xf>
    <xf numFmtId="0" fontId="35" fillId="4" borderId="19" xfId="0" applyFont="1" applyFill="1" applyBorder="1"/>
    <xf numFmtId="0" fontId="35" fillId="4" borderId="20" xfId="0" applyFont="1" applyFill="1" applyBorder="1"/>
    <xf numFmtId="0" fontId="35" fillId="4" borderId="20" xfId="0" applyFont="1" applyFill="1" applyBorder="1" applyAlignment="1">
      <alignment horizontal="left"/>
    </xf>
    <xf numFmtId="164" fontId="3" fillId="10" borderId="0" xfId="0" applyNumberFormat="1" applyFont="1" applyFill="1" applyAlignment="1">
      <alignment horizontal="right"/>
    </xf>
    <xf numFmtId="0" fontId="29" fillId="9" borderId="22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22" xfId="4" applyFont="1" applyFill="1" applyBorder="1" applyAlignment="1" applyProtection="1">
      <alignment horizontal="left"/>
    </xf>
    <xf numFmtId="0" fontId="29" fillId="9" borderId="23" xfId="4" applyFont="1" applyFill="1" applyBorder="1" applyAlignment="1" applyProtection="1">
      <alignment horizontal="left"/>
    </xf>
    <xf numFmtId="0" fontId="33" fillId="9" borderId="0" xfId="0" applyFont="1" applyFill="1"/>
    <xf numFmtId="0" fontId="0" fillId="9" borderId="0" xfId="0" applyFill="1"/>
    <xf numFmtId="0" fontId="0" fillId="10" borderId="0" xfId="0" applyFill="1"/>
    <xf numFmtId="0" fontId="28" fillId="10" borderId="0" xfId="0" applyFont="1" applyFill="1"/>
    <xf numFmtId="0" fontId="29" fillId="10" borderId="0" xfId="0" applyFont="1" applyFill="1" applyAlignment="1">
      <alignment horizontal="right"/>
    </xf>
    <xf numFmtId="43" fontId="6" fillId="6" borderId="38" xfId="1" applyFont="1" applyFill="1" applyBorder="1" applyProtection="1"/>
    <xf numFmtId="0" fontId="36" fillId="8" borderId="22" xfId="4" applyFont="1" applyFill="1" applyBorder="1" applyProtection="1"/>
    <xf numFmtId="0" fontId="19" fillId="8" borderId="39" xfId="4" applyFont="1" applyFill="1" applyBorder="1" applyProtection="1"/>
    <xf numFmtId="0" fontId="0" fillId="7" borderId="40" xfId="0" applyFill="1" applyBorder="1"/>
    <xf numFmtId="168" fontId="16" fillId="0" borderId="39" xfId="0" applyNumberFormat="1" applyFont="1" applyBorder="1" applyAlignment="1" applyProtection="1">
      <alignment horizontal="right"/>
      <protection locked="0"/>
    </xf>
    <xf numFmtId="169" fontId="16" fillId="0" borderId="23" xfId="0" applyNumberFormat="1" applyFont="1" applyBorder="1" applyAlignment="1" applyProtection="1">
      <alignment horizontal="right"/>
      <protection locked="0"/>
    </xf>
    <xf numFmtId="169" fontId="16" fillId="0" borderId="26" xfId="0" applyNumberFormat="1" applyFont="1" applyBorder="1" applyAlignment="1" applyProtection="1">
      <alignment horizontal="right"/>
      <protection locked="0"/>
    </xf>
    <xf numFmtId="168" fontId="16" fillId="0" borderId="24" xfId="0" applyNumberFormat="1" applyFont="1" applyBorder="1" applyAlignment="1" applyProtection="1">
      <alignment horizontal="right"/>
      <protection locked="0"/>
    </xf>
    <xf numFmtId="168" fontId="16" fillId="0" borderId="40" xfId="0" applyNumberFormat="1" applyFont="1" applyBorder="1" applyAlignment="1" applyProtection="1">
      <alignment horizontal="right"/>
      <protection locked="0"/>
    </xf>
    <xf numFmtId="1" fontId="16" fillId="0" borderId="24" xfId="0" applyNumberFormat="1" applyFont="1" applyBorder="1" applyAlignment="1" applyProtection="1">
      <alignment horizontal="right"/>
      <protection locked="0"/>
    </xf>
    <xf numFmtId="168" fontId="16" fillId="0" borderId="23" xfId="0" applyNumberFormat="1" applyFont="1" applyBorder="1" applyAlignment="1" applyProtection="1">
      <alignment horizontal="right"/>
      <protection locked="0"/>
    </xf>
    <xf numFmtId="171" fontId="5" fillId="0" borderId="0" xfId="0" applyNumberFormat="1" applyFont="1" applyAlignment="1">
      <alignment horizontal="right"/>
    </xf>
    <xf numFmtId="171" fontId="4" fillId="0" borderId="0" xfId="0" applyNumberFormat="1" applyFont="1" applyAlignment="1">
      <alignment horizontal="right"/>
    </xf>
    <xf numFmtId="44" fontId="19" fillId="0" borderId="0" xfId="2" applyFont="1" applyProtection="1"/>
    <xf numFmtId="170" fontId="8" fillId="3" borderId="0" xfId="4" applyNumberFormat="1" applyBorder="1"/>
    <xf numFmtId="172" fontId="8" fillId="3" borderId="0" xfId="4" applyNumberFormat="1" applyBorder="1"/>
    <xf numFmtId="2" fontId="16" fillId="8" borderId="24" xfId="0" applyNumberFormat="1" applyFont="1" applyFill="1" applyBorder="1" applyAlignment="1" applyProtection="1">
      <alignment horizontal="right"/>
      <protection locked="0"/>
    </xf>
    <xf numFmtId="2" fontId="16" fillId="8" borderId="27" xfId="0" applyNumberFormat="1" applyFont="1" applyFill="1" applyBorder="1" applyAlignment="1" applyProtection="1">
      <alignment horizontal="right"/>
      <protection locked="0"/>
    </xf>
    <xf numFmtId="172" fontId="16" fillId="8" borderId="23" xfId="0" applyNumberFormat="1" applyFont="1" applyFill="1" applyBorder="1" applyAlignment="1" applyProtection="1">
      <alignment horizontal="right"/>
      <protection locked="0"/>
    </xf>
    <xf numFmtId="172" fontId="16" fillId="8" borderId="26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2" fontId="16" fillId="7" borderId="0" xfId="0" applyNumberFormat="1" applyFont="1" applyFill="1"/>
    <xf numFmtId="0" fontId="37" fillId="7" borderId="0" xfId="0" applyFont="1" applyFill="1"/>
    <xf numFmtId="44" fontId="16" fillId="7" borderId="0" xfId="2" applyFont="1" applyFill="1" applyProtection="1"/>
    <xf numFmtId="0" fontId="16" fillId="8" borderId="0" xfId="0" applyFont="1" applyFill="1"/>
    <xf numFmtId="0" fontId="0" fillId="7" borderId="0" xfId="0" applyFill="1" applyBorder="1"/>
    <xf numFmtId="1" fontId="16" fillId="0" borderId="39" xfId="0" applyNumberFormat="1" applyFont="1" applyBorder="1" applyAlignment="1" applyProtection="1">
      <alignment horizontal="right"/>
      <protection locked="0"/>
    </xf>
    <xf numFmtId="164" fontId="10" fillId="10" borderId="0" xfId="0" applyNumberFormat="1" applyFont="1" applyFill="1" applyAlignment="1">
      <alignment horizontal="center"/>
    </xf>
    <xf numFmtId="0" fontId="38" fillId="10" borderId="3" xfId="0" applyFont="1" applyFill="1" applyBorder="1" applyAlignment="1">
      <alignment horizontal="left"/>
    </xf>
    <xf numFmtId="1" fontId="16" fillId="0" borderId="40" xfId="0" applyNumberFormat="1" applyFont="1" applyBorder="1" applyAlignment="1" applyProtection="1">
      <alignment horizontal="right"/>
      <protection locked="0"/>
    </xf>
    <xf numFmtId="0" fontId="9" fillId="7" borderId="0" xfId="0" applyFont="1" applyFill="1" applyBorder="1"/>
    <xf numFmtId="0" fontId="10" fillId="10" borderId="0" xfId="0" applyFont="1" applyFill="1" applyAlignment="1">
      <alignment horizontal="center"/>
    </xf>
    <xf numFmtId="0" fontId="39" fillId="10" borderId="0" xfId="0" applyFont="1" applyFill="1" applyAlignment="1">
      <alignment horizontal="center"/>
    </xf>
  </cellXfs>
  <cellStyles count="6">
    <cellStyle name="Comma" xfId="1" builtinId="3"/>
    <cellStyle name="Currency" xfId="2" builtinId="4"/>
    <cellStyle name="Good" xfId="4" builtinId="26"/>
    <cellStyle name="Hyperlink" xfId="5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hi.Lui@fpl.com" TargetMode="External"/><Relationship Id="rId2" Type="http://schemas.openxmlformats.org/officeDocument/2006/relationships/hyperlink" Target="mailto:Mike_Catarzi@fpl.com" TargetMode="External"/><Relationship Id="rId1" Type="http://schemas.openxmlformats.org/officeDocument/2006/relationships/hyperlink" Target="mailto:Mike.Catarzi@fp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Gary.R.Reynolds@fpl.com" TargetMode="External"/><Relationship Id="rId4" Type="http://schemas.openxmlformats.org/officeDocument/2006/relationships/hyperlink" Target="mailto:Abel.Alonso@fp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hi.Lui@fpl.com" TargetMode="External"/><Relationship Id="rId2" Type="http://schemas.openxmlformats.org/officeDocument/2006/relationships/hyperlink" Target="mailto:Mike_Catarzi@fpl.com" TargetMode="External"/><Relationship Id="rId1" Type="http://schemas.openxmlformats.org/officeDocument/2006/relationships/hyperlink" Target="mailto:Mike.Catarzi@fpl.com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Gary.R.Reynolds@fpl.com" TargetMode="External"/><Relationship Id="rId4" Type="http://schemas.openxmlformats.org/officeDocument/2006/relationships/hyperlink" Target="mailto:Abel.Alonso@fp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Chi_Lui@fpl.com" TargetMode="External"/><Relationship Id="rId2" Type="http://schemas.openxmlformats.org/officeDocument/2006/relationships/hyperlink" Target="mailto:Mike_Catarzi@fpl.com" TargetMode="External"/><Relationship Id="rId1" Type="http://schemas.openxmlformats.org/officeDocument/2006/relationships/hyperlink" Target="mailto:Mike_Catarzi@fpl.com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Gary.R.Reynolds@fpl.com" TargetMode="External"/><Relationship Id="rId4" Type="http://schemas.openxmlformats.org/officeDocument/2006/relationships/hyperlink" Target="mailto:Abel.Alonso@fp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3E220-B03F-46B2-9762-8BCC1CD66713}">
  <dimension ref="A7:M81"/>
  <sheetViews>
    <sheetView topLeftCell="A25" workbookViewId="0">
      <selection activeCell="A29" sqref="A29:XFD35"/>
    </sheetView>
  </sheetViews>
  <sheetFormatPr defaultRowHeight="15" x14ac:dyDescent="0.25"/>
  <cols>
    <col min="1" max="1" width="32.5703125" bestFit="1" customWidth="1"/>
    <col min="2" max="2" width="24" bestFit="1" customWidth="1"/>
    <col min="3" max="3" width="14.28515625" customWidth="1"/>
    <col min="4" max="4" width="16.7109375" customWidth="1"/>
    <col min="5" max="5" width="7.5703125" customWidth="1"/>
    <col min="6" max="6" width="31" bestFit="1" customWidth="1"/>
    <col min="7" max="7" width="25" customWidth="1"/>
    <col min="8" max="8" width="16.85546875" bestFit="1" customWidth="1"/>
  </cols>
  <sheetData>
    <row r="7" spans="1:8" x14ac:dyDescent="0.25">
      <c r="A7" s="187" t="s">
        <v>0</v>
      </c>
    </row>
    <row r="9" spans="1:8" x14ac:dyDescent="0.25">
      <c r="A9" s="47" t="s">
        <v>1</v>
      </c>
      <c r="B9" s="48"/>
      <c r="C9" s="49"/>
      <c r="D9" s="50"/>
    </row>
    <row r="10" spans="1:8" x14ac:dyDescent="0.25">
      <c r="A10" s="47" t="s">
        <v>2</v>
      </c>
      <c r="B10" s="48" t="s">
        <v>3</v>
      </c>
      <c r="C10" s="49" t="s">
        <v>4</v>
      </c>
      <c r="D10" s="50"/>
    </row>
    <row r="11" spans="1:8" x14ac:dyDescent="0.25">
      <c r="A11" s="22" t="s">
        <v>5</v>
      </c>
      <c r="B11" s="12" t="s">
        <v>6</v>
      </c>
      <c r="C11" s="51">
        <v>13.7</v>
      </c>
      <c r="D11" s="18"/>
    </row>
    <row r="12" spans="1:8" x14ac:dyDescent="0.25">
      <c r="A12" s="22" t="s">
        <v>7</v>
      </c>
      <c r="B12" s="12" t="s">
        <v>8</v>
      </c>
      <c r="C12" s="51">
        <v>14</v>
      </c>
      <c r="D12" s="18"/>
    </row>
    <row r="13" spans="1:8" x14ac:dyDescent="0.25">
      <c r="A13" s="22" t="s">
        <v>9</v>
      </c>
      <c r="B13" s="12" t="s">
        <v>10</v>
      </c>
      <c r="C13" s="175">
        <f>12/(12/C14*(1-0.04))</f>
        <v>10.520833333333334</v>
      </c>
      <c r="D13" s="18" t="s">
        <v>11</v>
      </c>
      <c r="F13" s="65" t="s">
        <v>12</v>
      </c>
      <c r="G13" s="66"/>
      <c r="H13" s="67"/>
    </row>
    <row r="14" spans="1:8" x14ac:dyDescent="0.25">
      <c r="A14" s="22" t="s">
        <v>13</v>
      </c>
      <c r="B14" s="12" t="s">
        <v>14</v>
      </c>
      <c r="C14" s="51">
        <v>10.1</v>
      </c>
      <c r="D14" s="18" t="s">
        <v>15</v>
      </c>
      <c r="F14" s="65" t="s">
        <v>16</v>
      </c>
      <c r="G14" s="66"/>
      <c r="H14" s="67"/>
    </row>
    <row r="15" spans="1:8" x14ac:dyDescent="0.25">
      <c r="A15" s="24" t="s">
        <v>17</v>
      </c>
      <c r="B15" s="2" t="s">
        <v>18</v>
      </c>
      <c r="C15" s="52">
        <v>15.8</v>
      </c>
      <c r="D15" s="18"/>
      <c r="F15" s="65" t="s">
        <v>19</v>
      </c>
      <c r="G15" s="66"/>
      <c r="H15" s="67"/>
    </row>
    <row r="16" spans="1:8" x14ac:dyDescent="0.25">
      <c r="A16" s="24" t="s">
        <v>20</v>
      </c>
      <c r="B16" s="2" t="s">
        <v>21</v>
      </c>
      <c r="C16" s="52">
        <v>16.100000000000001</v>
      </c>
      <c r="D16" s="18"/>
    </row>
    <row r="17" spans="1:4" x14ac:dyDescent="0.25">
      <c r="A17" s="24" t="s">
        <v>22</v>
      </c>
      <c r="B17" s="2" t="s">
        <v>23</v>
      </c>
      <c r="C17" s="174">
        <f>12/(12/C18*(1-0.04))</f>
        <v>10.104166666666666</v>
      </c>
      <c r="D17" s="18" t="s">
        <v>11</v>
      </c>
    </row>
    <row r="18" spans="1:4" x14ac:dyDescent="0.25">
      <c r="A18" s="24" t="s">
        <v>24</v>
      </c>
      <c r="B18" s="2" t="s">
        <v>25</v>
      </c>
      <c r="C18" s="53">
        <v>9.6999999999999993</v>
      </c>
      <c r="D18" s="18" t="s">
        <v>15</v>
      </c>
    </row>
    <row r="19" spans="1:4" x14ac:dyDescent="0.25">
      <c r="A19" s="54"/>
      <c r="B19" s="55"/>
      <c r="C19" s="56"/>
      <c r="D19" s="50"/>
    </row>
    <row r="20" spans="1:4" x14ac:dyDescent="0.25">
      <c r="A20" s="19" t="s">
        <v>26</v>
      </c>
      <c r="B20" t="s">
        <v>27</v>
      </c>
      <c r="C20" s="57">
        <f>100%</f>
        <v>1</v>
      </c>
      <c r="D20" s="18"/>
    </row>
    <row r="21" spans="1:4" x14ac:dyDescent="0.25">
      <c r="A21" s="19" t="s">
        <v>28</v>
      </c>
      <c r="B21" t="s">
        <v>29</v>
      </c>
      <c r="C21" s="57">
        <v>0.215</v>
      </c>
      <c r="D21" s="18"/>
    </row>
    <row r="22" spans="1:4" x14ac:dyDescent="0.25">
      <c r="A22" s="19" t="s">
        <v>30</v>
      </c>
      <c r="B22" t="s">
        <v>31</v>
      </c>
      <c r="C22" s="58">
        <v>4152</v>
      </c>
      <c r="D22" s="18"/>
    </row>
    <row r="23" spans="1:4" x14ac:dyDescent="0.25">
      <c r="A23" s="19" t="s">
        <v>32</v>
      </c>
      <c r="B23" t="s">
        <v>33</v>
      </c>
      <c r="C23" s="59">
        <v>145</v>
      </c>
      <c r="D23" s="18"/>
    </row>
    <row r="24" spans="1:4" x14ac:dyDescent="0.25">
      <c r="A24" s="19" t="s">
        <v>34</v>
      </c>
      <c r="B24" t="s">
        <v>35</v>
      </c>
      <c r="C24" s="57">
        <v>1.05</v>
      </c>
      <c r="D24" s="18"/>
    </row>
    <row r="25" spans="1:4" ht="15.75" thickBot="1" x14ac:dyDescent="0.3">
      <c r="A25" s="60"/>
      <c r="B25" s="61"/>
      <c r="C25" s="62"/>
      <c r="D25" s="63"/>
    </row>
    <row r="27" spans="1:4" ht="18.75" x14ac:dyDescent="0.3">
      <c r="A27" s="64" t="s">
        <v>36</v>
      </c>
    </row>
    <row r="29" spans="1:4" hidden="1" x14ac:dyDescent="0.25"/>
    <row r="30" spans="1:4" hidden="1" x14ac:dyDescent="0.25"/>
    <row r="31" spans="1:4" hidden="1" x14ac:dyDescent="0.25"/>
    <row r="32" spans="1:4" hidden="1" x14ac:dyDescent="0.25"/>
    <row r="33" spans="1:13" hidden="1" x14ac:dyDescent="0.25"/>
    <row r="34" spans="1:13" hidden="1" x14ac:dyDescent="0.25"/>
    <row r="35" spans="1:13" hidden="1" x14ac:dyDescent="0.25"/>
    <row r="36" spans="1:13" x14ac:dyDescent="0.25">
      <c r="A36" s="187" t="s">
        <v>37</v>
      </c>
      <c r="F36" s="187" t="s">
        <v>38</v>
      </c>
    </row>
    <row r="37" spans="1:13" x14ac:dyDescent="0.25">
      <c r="A37" s="20"/>
      <c r="B37" s="11"/>
      <c r="C37" t="e">
        <f>IF(C36&lt;=12/INPUTS!C60,INPUTS!A3912/C36)</f>
        <v>#DIV/0!</v>
      </c>
      <c r="D37" s="18"/>
      <c r="F37" s="20"/>
      <c r="G37" s="11"/>
      <c r="I37" s="18"/>
    </row>
    <row r="38" spans="1:13" x14ac:dyDescent="0.25">
      <c r="A38" s="17" t="s">
        <v>1</v>
      </c>
      <c r="B38" s="10"/>
      <c r="C38" s="10"/>
      <c r="D38" s="21"/>
      <c r="F38" s="17" t="s">
        <v>1</v>
      </c>
      <c r="G38" s="10"/>
      <c r="H38" s="10"/>
      <c r="I38" s="21"/>
    </row>
    <row r="39" spans="1:13" x14ac:dyDescent="0.25">
      <c r="A39" s="17" t="s">
        <v>2</v>
      </c>
      <c r="B39" s="10" t="s">
        <v>3</v>
      </c>
      <c r="C39" s="10" t="s">
        <v>4</v>
      </c>
      <c r="D39" s="21"/>
      <c r="F39" s="17" t="s">
        <v>2</v>
      </c>
      <c r="G39" s="10" t="s">
        <v>3</v>
      </c>
      <c r="H39" s="10" t="s">
        <v>4</v>
      </c>
      <c r="I39" s="21"/>
    </row>
    <row r="40" spans="1:13" x14ac:dyDescent="0.25">
      <c r="A40" s="22" t="s">
        <v>5</v>
      </c>
      <c r="B40" s="12" t="s">
        <v>39</v>
      </c>
      <c r="C40" s="13">
        <v>0.55000000000000004</v>
      </c>
      <c r="D40" s="18"/>
      <c r="F40" s="22" t="s">
        <v>40</v>
      </c>
      <c r="G40" s="12" t="s">
        <v>41</v>
      </c>
      <c r="H40" s="13">
        <v>0.6</v>
      </c>
      <c r="I40" s="18"/>
    </row>
    <row r="41" spans="1:13" x14ac:dyDescent="0.25">
      <c r="A41" s="22" t="s">
        <v>42</v>
      </c>
      <c r="B41" s="12" t="s">
        <v>43</v>
      </c>
      <c r="C41" s="13">
        <v>0.55000000000000004</v>
      </c>
      <c r="D41" s="18"/>
      <c r="F41" s="22" t="s">
        <v>44</v>
      </c>
      <c r="G41" s="12" t="s">
        <v>45</v>
      </c>
      <c r="H41" s="13">
        <v>0.56000000000000005</v>
      </c>
      <c r="I41" s="18"/>
    </row>
    <row r="42" spans="1:13" x14ac:dyDescent="0.25">
      <c r="A42" s="22" t="s">
        <v>46</v>
      </c>
      <c r="B42" s="12" t="s">
        <v>47</v>
      </c>
      <c r="C42" s="13">
        <v>0.52</v>
      </c>
      <c r="D42" s="18"/>
      <c r="F42" s="22" t="s">
        <v>42</v>
      </c>
      <c r="G42" s="12" t="s">
        <v>48</v>
      </c>
      <c r="H42" s="13">
        <v>0.54</v>
      </c>
      <c r="I42" s="18"/>
    </row>
    <row r="43" spans="1:13" ht="15.75" thickBot="1" x14ac:dyDescent="0.3">
      <c r="A43" s="22" t="s">
        <v>49</v>
      </c>
      <c r="B43" s="12" t="s">
        <v>50</v>
      </c>
      <c r="C43" s="13">
        <v>0.5</v>
      </c>
      <c r="D43" s="18"/>
      <c r="F43" s="22" t="s">
        <v>51</v>
      </c>
      <c r="G43" s="12" t="s">
        <v>52</v>
      </c>
      <c r="H43" s="13">
        <v>0.52</v>
      </c>
      <c r="I43" s="18"/>
    </row>
    <row r="44" spans="1:13" ht="15.75" thickBot="1" x14ac:dyDescent="0.3">
      <c r="A44" s="22" t="s">
        <v>53</v>
      </c>
      <c r="B44" s="12" t="s">
        <v>54</v>
      </c>
      <c r="C44" s="13">
        <v>0.5</v>
      </c>
      <c r="D44" s="18"/>
      <c r="F44" s="22" t="s">
        <v>53</v>
      </c>
      <c r="G44" s="12" t="s">
        <v>55</v>
      </c>
      <c r="H44" s="13">
        <v>0.5</v>
      </c>
      <c r="I44" s="18"/>
      <c r="L44" s="45" t="s">
        <v>56</v>
      </c>
      <c r="M44" s="46" t="s">
        <v>57</v>
      </c>
    </row>
    <row r="45" spans="1:13" x14ac:dyDescent="0.25">
      <c r="A45" s="22" t="s">
        <v>58</v>
      </c>
      <c r="B45" s="12" t="s">
        <v>59</v>
      </c>
      <c r="C45" s="177">
        <f>12/(12/C46*(1-GenMinkWperTonPerc))</f>
        <v>20.489583333333332</v>
      </c>
      <c r="D45" s="23" t="s">
        <v>60</v>
      </c>
      <c r="F45" s="22" t="s">
        <v>61</v>
      </c>
      <c r="G45" s="12" t="s">
        <v>62</v>
      </c>
      <c r="H45" s="14">
        <f>12/(12/H46*(1-GenMinkWperTonPerc))</f>
        <v>16.666666666666668</v>
      </c>
      <c r="I45" s="23" t="s">
        <v>60</v>
      </c>
      <c r="L45" s="41">
        <v>20.49</v>
      </c>
      <c r="M45" s="42">
        <v>16.670000000000002</v>
      </c>
    </row>
    <row r="46" spans="1:13" x14ac:dyDescent="0.25">
      <c r="A46" s="22" t="s">
        <v>63</v>
      </c>
      <c r="B46" s="12" t="s">
        <v>64</v>
      </c>
      <c r="C46" s="15">
        <v>19.670000000000002</v>
      </c>
      <c r="D46" s="18" t="s">
        <v>65</v>
      </c>
      <c r="F46" s="22" t="s">
        <v>66</v>
      </c>
      <c r="G46" s="12" t="s">
        <v>67</v>
      </c>
      <c r="H46" s="15">
        <v>16</v>
      </c>
      <c r="I46" s="18" t="s">
        <v>65</v>
      </c>
      <c r="L46" s="33">
        <v>19.670000000000002</v>
      </c>
      <c r="M46" s="34">
        <v>16</v>
      </c>
    </row>
    <row r="47" spans="1:13" x14ac:dyDescent="0.25">
      <c r="A47" s="22" t="s">
        <v>68</v>
      </c>
      <c r="B47" s="12" t="s">
        <v>69</v>
      </c>
      <c r="C47" s="177">
        <f>12/(12/C48*(1-GenMinkWperTonPerc))</f>
        <v>20.489583333333332</v>
      </c>
      <c r="D47" s="23" t="s">
        <v>60</v>
      </c>
      <c r="F47" s="22" t="s">
        <v>70</v>
      </c>
      <c r="G47" s="12" t="s">
        <v>71</v>
      </c>
      <c r="H47" s="14">
        <f>12/(12/H48*(1-GenMinkWperTonPerc))</f>
        <v>17.364583333333336</v>
      </c>
      <c r="I47" s="23" t="s">
        <v>60</v>
      </c>
      <c r="L47" s="31">
        <v>20.49</v>
      </c>
      <c r="M47" s="32">
        <v>17.36</v>
      </c>
    </row>
    <row r="48" spans="1:13" x14ac:dyDescent="0.25">
      <c r="A48" s="22" t="s">
        <v>72</v>
      </c>
      <c r="B48" s="12" t="s">
        <v>73</v>
      </c>
      <c r="C48" s="15">
        <v>19.670000000000002</v>
      </c>
      <c r="D48" s="18" t="s">
        <v>65</v>
      </c>
      <c r="F48" s="22" t="s">
        <v>74</v>
      </c>
      <c r="G48" s="12" t="s">
        <v>75</v>
      </c>
      <c r="H48" s="15">
        <v>16.670000000000002</v>
      </c>
      <c r="I48" s="18" t="s">
        <v>65</v>
      </c>
      <c r="L48" s="33">
        <v>19.670000000000002</v>
      </c>
      <c r="M48" s="34">
        <v>16.670000000000002</v>
      </c>
    </row>
    <row r="49" spans="1:13" s="2" customFormat="1" x14ac:dyDescent="0.25">
      <c r="A49" s="22" t="s">
        <v>76</v>
      </c>
      <c r="B49" s="12" t="s">
        <v>77</v>
      </c>
      <c r="C49" s="14">
        <f>12/(12/C50*(1-GenMinkWperTonPerc))</f>
        <v>22.322916666666668</v>
      </c>
      <c r="D49" s="23" t="s">
        <v>60</v>
      </c>
      <c r="F49" s="22" t="s">
        <v>78</v>
      </c>
      <c r="G49" s="12" t="s">
        <v>79</v>
      </c>
      <c r="H49" s="14">
        <f>12/(12/H50*(1-GenMinkWperTonPerc))</f>
        <v>18.9375</v>
      </c>
      <c r="I49" s="23" t="s">
        <v>60</v>
      </c>
      <c r="L49" s="31">
        <v>22.32</v>
      </c>
      <c r="M49" s="32">
        <v>18.940000000000001</v>
      </c>
    </row>
    <row r="50" spans="1:13" s="2" customFormat="1" x14ac:dyDescent="0.25">
      <c r="A50" s="22" t="s">
        <v>80</v>
      </c>
      <c r="B50" s="12" t="s">
        <v>81</v>
      </c>
      <c r="C50" s="15">
        <v>21.43</v>
      </c>
      <c r="D50" s="18" t="s">
        <v>65</v>
      </c>
      <c r="F50" s="22" t="s">
        <v>72</v>
      </c>
      <c r="G50" s="12" t="s">
        <v>82</v>
      </c>
      <c r="H50" s="15">
        <v>18.18</v>
      </c>
      <c r="I50" s="18" t="s">
        <v>65</v>
      </c>
      <c r="L50" s="33">
        <v>21.43</v>
      </c>
      <c r="M50" s="34">
        <v>18.18</v>
      </c>
    </row>
    <row r="51" spans="1:13" s="2" customFormat="1" x14ac:dyDescent="0.25">
      <c r="A51" s="22" t="s">
        <v>83</v>
      </c>
      <c r="B51" s="12" t="s">
        <v>84</v>
      </c>
      <c r="C51" s="14">
        <f>12/(12/C52*(1-GenMinkWperTonPerc))</f>
        <v>22.322916666666668</v>
      </c>
      <c r="D51" s="23" t="s">
        <v>60</v>
      </c>
      <c r="F51" s="22" t="s">
        <v>85</v>
      </c>
      <c r="G51" s="12" t="s">
        <v>86</v>
      </c>
      <c r="H51" s="14">
        <f>12/(12/H52*(1-GenMinkWperTonPerc))</f>
        <v>20.489583333333332</v>
      </c>
      <c r="I51" s="23" t="s">
        <v>60</v>
      </c>
      <c r="L51" s="31">
        <v>22.32</v>
      </c>
      <c r="M51" s="32">
        <v>20.49</v>
      </c>
    </row>
    <row r="52" spans="1:13" s="2" customFormat="1" x14ac:dyDescent="0.25">
      <c r="A52" s="22" t="s">
        <v>87</v>
      </c>
      <c r="B52" s="12" t="s">
        <v>88</v>
      </c>
      <c r="C52" s="15">
        <v>21.43</v>
      </c>
      <c r="D52" s="18" t="s">
        <v>65</v>
      </c>
      <c r="F52" s="22" t="s">
        <v>89</v>
      </c>
      <c r="G52" s="12" t="s">
        <v>90</v>
      </c>
      <c r="H52" s="15">
        <v>19.670000000000002</v>
      </c>
      <c r="I52" s="18" t="s">
        <v>65</v>
      </c>
      <c r="L52" s="33">
        <v>21.43</v>
      </c>
      <c r="M52" s="34">
        <v>19.670000000000002</v>
      </c>
    </row>
    <row r="53" spans="1:13" s="2" customFormat="1" x14ac:dyDescent="0.25">
      <c r="A53" s="22" t="s">
        <v>91</v>
      </c>
      <c r="B53" s="12" t="s">
        <v>92</v>
      </c>
      <c r="C53" s="14">
        <f>12/(12/C54*(1-GenMinkWperTonPerc))</f>
        <v>22.322916666666668</v>
      </c>
      <c r="D53" s="23" t="s">
        <v>60</v>
      </c>
      <c r="F53" s="22" t="s">
        <v>93</v>
      </c>
      <c r="G53" s="12" t="s">
        <v>94</v>
      </c>
      <c r="H53" s="14">
        <f>12/(12/H54*(1-GenMinkWperTonPerc))</f>
        <v>22.322916666666668</v>
      </c>
      <c r="I53" s="23" t="s">
        <v>60</v>
      </c>
      <c r="L53" s="33">
        <v>22.32</v>
      </c>
      <c r="M53" s="32">
        <v>22.32</v>
      </c>
    </row>
    <row r="54" spans="1:13" s="2" customFormat="1" ht="15.75" thickBot="1" x14ac:dyDescent="0.3">
      <c r="A54" s="22" t="s">
        <v>95</v>
      </c>
      <c r="B54" s="12" t="s">
        <v>96</v>
      </c>
      <c r="C54" s="15">
        <v>21.43</v>
      </c>
      <c r="D54" s="18" t="s">
        <v>65</v>
      </c>
      <c r="F54" s="22" t="s">
        <v>97</v>
      </c>
      <c r="G54" s="12" t="s">
        <v>98</v>
      </c>
      <c r="H54" s="15">
        <v>21.43</v>
      </c>
      <c r="I54" s="18" t="s">
        <v>65</v>
      </c>
      <c r="L54" s="35">
        <v>21.43</v>
      </c>
      <c r="M54" s="36">
        <v>21.43</v>
      </c>
    </row>
    <row r="55" spans="1:13" s="2" customFormat="1" x14ac:dyDescent="0.25">
      <c r="A55" s="24" t="s">
        <v>99</v>
      </c>
      <c r="B55" s="2" t="s">
        <v>100</v>
      </c>
      <c r="C55" s="16">
        <v>0.44</v>
      </c>
      <c r="D55" s="25"/>
      <c r="F55" s="24" t="s">
        <v>101</v>
      </c>
      <c r="G55" s="2" t="s">
        <v>102</v>
      </c>
      <c r="H55" s="16">
        <v>0.5</v>
      </c>
      <c r="I55" s="25"/>
    </row>
    <row r="56" spans="1:13" x14ac:dyDescent="0.25">
      <c r="A56" s="24" t="s">
        <v>103</v>
      </c>
      <c r="B56" s="2" t="s">
        <v>104</v>
      </c>
      <c r="C56" s="16">
        <v>0.4</v>
      </c>
      <c r="D56" s="18"/>
      <c r="F56" s="24" t="s">
        <v>105</v>
      </c>
      <c r="G56" s="2" t="s">
        <v>106</v>
      </c>
      <c r="H56" s="16">
        <v>0.49</v>
      </c>
      <c r="I56" s="18"/>
    </row>
    <row r="57" spans="1:13" x14ac:dyDescent="0.25">
      <c r="A57" s="24" t="s">
        <v>107</v>
      </c>
      <c r="B57" s="2" t="s">
        <v>108</v>
      </c>
      <c r="C57" s="16">
        <v>0.39</v>
      </c>
      <c r="D57" s="18"/>
      <c r="F57" s="24" t="s">
        <v>103</v>
      </c>
      <c r="G57" s="2" t="s">
        <v>109</v>
      </c>
      <c r="H57" s="16">
        <v>0.44</v>
      </c>
      <c r="I57" s="18"/>
    </row>
    <row r="58" spans="1:13" ht="15.75" thickBot="1" x14ac:dyDescent="0.3">
      <c r="A58" s="24" t="s">
        <v>110</v>
      </c>
      <c r="B58" s="2" t="s">
        <v>111</v>
      </c>
      <c r="C58" s="16">
        <v>0.38</v>
      </c>
      <c r="D58" s="18"/>
      <c r="F58" s="24" t="s">
        <v>112</v>
      </c>
      <c r="G58" s="2" t="s">
        <v>113</v>
      </c>
      <c r="H58" s="16">
        <v>0.41</v>
      </c>
      <c r="I58" s="18"/>
    </row>
    <row r="59" spans="1:13" ht="15.75" thickBot="1" x14ac:dyDescent="0.3">
      <c r="A59" s="24" t="s">
        <v>114</v>
      </c>
      <c r="B59" s="2" t="s">
        <v>115</v>
      </c>
      <c r="C59" s="16">
        <v>0.38</v>
      </c>
      <c r="D59" s="18"/>
      <c r="F59" s="24" t="s">
        <v>114</v>
      </c>
      <c r="G59" s="2" t="s">
        <v>116</v>
      </c>
      <c r="H59" s="16">
        <v>0.38</v>
      </c>
      <c r="I59" s="18"/>
      <c r="L59" s="45" t="s">
        <v>56</v>
      </c>
      <c r="M59" s="46" t="s">
        <v>57</v>
      </c>
    </row>
    <row r="60" spans="1:13" x14ac:dyDescent="0.25">
      <c r="A60" s="24" t="s">
        <v>117</v>
      </c>
      <c r="B60" s="2" t="s">
        <v>118</v>
      </c>
      <c r="C60" s="14">
        <f>12/(12/C61*(1-GenMinkWperTonPerc))</f>
        <v>17.989583333333332</v>
      </c>
      <c r="D60" s="23" t="s">
        <v>60</v>
      </c>
      <c r="F60" s="24" t="s">
        <v>119</v>
      </c>
      <c r="G60" s="2" t="s">
        <v>120</v>
      </c>
      <c r="H60" s="14">
        <f>12/(12/H61*(1-GenMinkWperTonPerc))</f>
        <v>16.020833333333336</v>
      </c>
      <c r="I60" s="23" t="s">
        <v>60</v>
      </c>
      <c r="L60" s="43">
        <v>17.989999999999998</v>
      </c>
      <c r="M60" s="44">
        <v>16.03</v>
      </c>
    </row>
    <row r="61" spans="1:13" x14ac:dyDescent="0.25">
      <c r="A61" s="24" t="s">
        <v>121</v>
      </c>
      <c r="B61" s="2" t="s">
        <v>122</v>
      </c>
      <c r="C61" s="2">
        <v>17.27</v>
      </c>
      <c r="D61" s="18" t="s">
        <v>65</v>
      </c>
      <c r="F61" s="24" t="s">
        <v>123</v>
      </c>
      <c r="G61" s="2" t="s">
        <v>124</v>
      </c>
      <c r="H61" s="29">
        <v>15.38</v>
      </c>
      <c r="I61" s="18" t="s">
        <v>65</v>
      </c>
      <c r="L61" s="37">
        <v>17.27</v>
      </c>
      <c r="M61" s="38">
        <v>15.38</v>
      </c>
    </row>
    <row r="62" spans="1:13" x14ac:dyDescent="0.25">
      <c r="A62" s="24" t="s">
        <v>125</v>
      </c>
      <c r="B62" s="2" t="s">
        <v>126</v>
      </c>
      <c r="C62" s="14">
        <f>12/(12/C63*(1-GenMinkWperTonPerc))</f>
        <v>19.6875</v>
      </c>
      <c r="D62" s="23" t="s">
        <v>60</v>
      </c>
      <c r="F62" s="24" t="s">
        <v>127</v>
      </c>
      <c r="G62" s="2" t="s">
        <v>128</v>
      </c>
      <c r="H62" s="14">
        <f>12/(12/H63*(1-GenMinkWperTonPerc))</f>
        <v>16.666666666666668</v>
      </c>
      <c r="I62" s="23" t="s">
        <v>60</v>
      </c>
      <c r="L62" s="37">
        <v>19.690000000000001</v>
      </c>
      <c r="M62" s="38">
        <v>16.670000000000002</v>
      </c>
    </row>
    <row r="63" spans="1:13" x14ac:dyDescent="0.25">
      <c r="A63" s="24" t="s">
        <v>125</v>
      </c>
      <c r="B63" s="2" t="s">
        <v>129</v>
      </c>
      <c r="C63" s="2">
        <v>18.899999999999999</v>
      </c>
      <c r="D63" s="18" t="s">
        <v>65</v>
      </c>
      <c r="F63" s="24" t="s">
        <v>130</v>
      </c>
      <c r="G63" s="2" t="s">
        <v>131</v>
      </c>
      <c r="H63" s="29">
        <v>16</v>
      </c>
      <c r="I63" s="18" t="s">
        <v>65</v>
      </c>
      <c r="L63" s="37">
        <v>18.899999999999999</v>
      </c>
      <c r="M63" s="38">
        <v>16</v>
      </c>
    </row>
    <row r="64" spans="1:13" x14ac:dyDescent="0.25">
      <c r="A64" s="24" t="s">
        <v>132</v>
      </c>
      <c r="B64" s="2" t="s">
        <v>133</v>
      </c>
      <c r="C64" s="14">
        <f>12/(12/C65*(1-GenMinkWperTonPerc))</f>
        <v>21.010416666666668</v>
      </c>
      <c r="D64" s="23" t="s">
        <v>60</v>
      </c>
      <c r="F64" s="24" t="s">
        <v>125</v>
      </c>
      <c r="G64" s="2" t="s">
        <v>134</v>
      </c>
      <c r="H64" s="14">
        <f>12/(12/H65*(1-GenMinkWperTonPerc))</f>
        <v>18.385416666666668</v>
      </c>
      <c r="I64" s="23" t="s">
        <v>60</v>
      </c>
      <c r="L64" s="37">
        <v>21.01</v>
      </c>
      <c r="M64" s="38">
        <v>18.38</v>
      </c>
    </row>
    <row r="65" spans="1:13" x14ac:dyDescent="0.25">
      <c r="A65" s="24" t="s">
        <v>135</v>
      </c>
      <c r="B65" s="2" t="s">
        <v>136</v>
      </c>
      <c r="C65" s="2">
        <v>20.170000000000002</v>
      </c>
      <c r="D65" s="18" t="s">
        <v>65</v>
      </c>
      <c r="F65" s="24" t="s">
        <v>137</v>
      </c>
      <c r="G65" s="2" t="s">
        <v>138</v>
      </c>
      <c r="H65" s="29">
        <v>17.649999999999999</v>
      </c>
      <c r="I65" s="18" t="s">
        <v>65</v>
      </c>
      <c r="L65" s="37">
        <v>20.170000000000002</v>
      </c>
      <c r="M65" s="38">
        <v>17.649999999999999</v>
      </c>
    </row>
    <row r="66" spans="1:13" x14ac:dyDescent="0.25">
      <c r="A66" s="24" t="s">
        <v>139</v>
      </c>
      <c r="B66" s="2" t="s">
        <v>140</v>
      </c>
      <c r="C66" s="14">
        <f>12/(12/C67*(1-GenMinkWperTonPerc))</f>
        <v>21.364583333333336</v>
      </c>
      <c r="D66" s="23" t="s">
        <v>60</v>
      </c>
      <c r="F66" s="24" t="s">
        <v>141</v>
      </c>
      <c r="G66" s="2" t="s">
        <v>142</v>
      </c>
      <c r="H66" s="14">
        <f>12/(12/H67*(1-GenMinkWperTonPerc))</f>
        <v>20</v>
      </c>
      <c r="I66" s="23" t="s">
        <v>60</v>
      </c>
      <c r="L66" s="37">
        <v>21.37</v>
      </c>
      <c r="M66" s="38">
        <v>20</v>
      </c>
    </row>
    <row r="67" spans="1:13" x14ac:dyDescent="0.25">
      <c r="A67" s="24" t="s">
        <v>143</v>
      </c>
      <c r="B67" s="2" t="s">
        <v>144</v>
      </c>
      <c r="C67" s="2">
        <v>20.51</v>
      </c>
      <c r="D67" s="18" t="s">
        <v>65</v>
      </c>
      <c r="F67" s="24" t="s">
        <v>145</v>
      </c>
      <c r="G67" s="2" t="s">
        <v>146</v>
      </c>
      <c r="H67" s="29">
        <v>19.2</v>
      </c>
      <c r="I67" s="18" t="s">
        <v>65</v>
      </c>
      <c r="L67" s="37">
        <v>20.51</v>
      </c>
      <c r="M67" s="38">
        <v>19.2</v>
      </c>
    </row>
    <row r="68" spans="1:13" x14ac:dyDescent="0.25">
      <c r="A68" s="24" t="s">
        <v>147</v>
      </c>
      <c r="B68" s="2" t="s">
        <v>148</v>
      </c>
      <c r="C68" s="178">
        <f>12/(12/C69*(1-GenMinkWperTonPerc))</f>
        <v>21.364583333333336</v>
      </c>
      <c r="D68" s="23" t="s">
        <v>60</v>
      </c>
      <c r="F68" s="24" t="s">
        <v>147</v>
      </c>
      <c r="G68" s="2" t="s">
        <v>149</v>
      </c>
      <c r="H68" s="14">
        <f>12/(12/H69*(1-GenMinkWperTonPerc))</f>
        <v>21.364583333333336</v>
      </c>
      <c r="I68" s="23" t="s">
        <v>60</v>
      </c>
      <c r="L68" s="37">
        <v>21.37</v>
      </c>
      <c r="M68" s="38">
        <v>21.37</v>
      </c>
    </row>
    <row r="69" spans="1:13" ht="15.75" thickBot="1" x14ac:dyDescent="0.3">
      <c r="A69" s="26" t="s">
        <v>150</v>
      </c>
      <c r="B69" s="27" t="s">
        <v>151</v>
      </c>
      <c r="C69" s="30">
        <v>20.51</v>
      </c>
      <c r="D69" s="28" t="s">
        <v>65</v>
      </c>
      <c r="F69" s="26" t="s">
        <v>152</v>
      </c>
      <c r="G69" s="27" t="s">
        <v>153</v>
      </c>
      <c r="H69" s="30">
        <v>20.51</v>
      </c>
      <c r="I69" s="28" t="s">
        <v>65</v>
      </c>
      <c r="L69" s="39">
        <v>20.51</v>
      </c>
      <c r="M69" s="40">
        <v>20.51</v>
      </c>
    </row>
    <row r="70" spans="1:13" x14ac:dyDescent="0.25">
      <c r="A70" s="2"/>
      <c r="B70" s="2"/>
    </row>
    <row r="72" spans="1:13" x14ac:dyDescent="0.25">
      <c r="A72" s="5"/>
      <c r="B72" s="5"/>
      <c r="C72" s="6"/>
    </row>
    <row r="73" spans="1:13" x14ac:dyDescent="0.25">
      <c r="A73" t="s">
        <v>26</v>
      </c>
      <c r="B73" t="s">
        <v>154</v>
      </c>
      <c r="C73" s="1">
        <f>100%</f>
        <v>1</v>
      </c>
    </row>
    <row r="74" spans="1:13" x14ac:dyDescent="0.25">
      <c r="A74" t="s">
        <v>28</v>
      </c>
      <c r="B74" t="s">
        <v>155</v>
      </c>
      <c r="C74" s="1">
        <v>0.215</v>
      </c>
    </row>
    <row r="75" spans="1:13" x14ac:dyDescent="0.25">
      <c r="A75" t="s">
        <v>30</v>
      </c>
      <c r="B75" t="s">
        <v>156</v>
      </c>
      <c r="C75" s="4">
        <v>4152</v>
      </c>
    </row>
    <row r="76" spans="1:13" x14ac:dyDescent="0.25">
      <c r="A76" t="s">
        <v>32</v>
      </c>
      <c r="B76" t="s">
        <v>157</v>
      </c>
      <c r="C76" s="3">
        <v>145</v>
      </c>
    </row>
    <row r="77" spans="1:13" x14ac:dyDescent="0.25">
      <c r="A77" t="s">
        <v>34</v>
      </c>
      <c r="B77" t="s">
        <v>158</v>
      </c>
      <c r="C77" s="1">
        <v>1</v>
      </c>
    </row>
    <row r="78" spans="1:13" x14ac:dyDescent="0.25">
      <c r="A78" s="8" t="s">
        <v>159</v>
      </c>
      <c r="B78" s="8" t="s">
        <v>160</v>
      </c>
      <c r="C78" s="9">
        <v>0.04</v>
      </c>
    </row>
    <row r="79" spans="1:13" x14ac:dyDescent="0.25">
      <c r="A79" s="7"/>
      <c r="B79" s="7"/>
      <c r="C79" s="7"/>
    </row>
    <row r="81" spans="1:1" ht="18.75" x14ac:dyDescent="0.3">
      <c r="A81" s="64" t="s">
        <v>161</v>
      </c>
    </row>
  </sheetData>
  <sheetProtection algorithmName="SHA-512" hashValue="ZD5s45lormShNygaG91zLinovNmVSpnbQzBP8BkAqrXivQmxHj3jkmy8BxqXCDbb94hmyDEqxGJtu+kCZfEgXg==" saltValue="wh3Q/naC+xnn0Wwujt/iWw==" spinCount="100000" sheet="1" objects="1" scenarios="1"/>
  <phoneticPr fontId="1" type="noConversion"/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DD816-5BB5-4E79-A2D0-00369C0F51CD}">
  <dimension ref="A1:AH58"/>
  <sheetViews>
    <sheetView tabSelected="1" zoomScale="140" zoomScaleNormal="140" workbookViewId="0">
      <selection activeCell="C33" sqref="C33"/>
    </sheetView>
  </sheetViews>
  <sheetFormatPr defaultRowHeight="15" x14ac:dyDescent="0.25"/>
  <cols>
    <col min="1" max="1" width="34.42578125" customWidth="1"/>
    <col min="2" max="2" width="23.140625" hidden="1" customWidth="1"/>
    <col min="3" max="3" width="27.5703125" customWidth="1"/>
    <col min="4" max="4" width="0.7109375" customWidth="1"/>
    <col min="5" max="5" width="17.140625" customWidth="1"/>
    <col min="6" max="6" width="25.85546875" customWidth="1"/>
    <col min="7" max="7" width="10.5703125" bestFit="1" customWidth="1"/>
    <col min="8" max="8" width="2.42578125" customWidth="1"/>
    <col min="11" max="15" width="0" hidden="1" customWidth="1"/>
  </cols>
  <sheetData>
    <row r="1" spans="1:17" ht="6" customHeight="1" x14ac:dyDescent="0.25"/>
    <row r="2" spans="1:17" hidden="1" x14ac:dyDescent="0.25"/>
    <row r="3" spans="1:17" hidden="1" x14ac:dyDescent="0.25"/>
    <row r="4" spans="1:17" ht="18.75" hidden="1" x14ac:dyDescent="0.3">
      <c r="A4" s="94" t="s">
        <v>162</v>
      </c>
      <c r="C4" s="95"/>
    </row>
    <row r="5" spans="1:17" ht="18.75" hidden="1" x14ac:dyDescent="0.3">
      <c r="A5" s="94"/>
      <c r="C5" s="95"/>
    </row>
    <row r="6" spans="1:17" hidden="1" x14ac:dyDescent="0.25">
      <c r="A6" s="79" t="s">
        <v>163</v>
      </c>
      <c r="B6" s="96" t="str">
        <f>IF(ac_ACTons&lt;150,B8,B7)</f>
        <v>PATH A</v>
      </c>
      <c r="C6" s="95"/>
    </row>
    <row r="7" spans="1:17" hidden="1" x14ac:dyDescent="0.25">
      <c r="A7" t="s">
        <v>164</v>
      </c>
      <c r="B7" t="str">
        <f>IF(ac_ACTons&gt;=150,IF(ac_IPLVN&gt;=ac_GT150_MinIPLVB,"PATH B",IF(ac_IPLVN&gt;=ac_GT150_MinIPLVA,"PATH A","DNQ")),"OTHER")</f>
        <v>PATH A</v>
      </c>
      <c r="C7" s="95"/>
    </row>
    <row r="8" spans="1:17" hidden="1" x14ac:dyDescent="0.25">
      <c r="A8" t="s">
        <v>165</v>
      </c>
      <c r="B8" t="str">
        <f>IF(ac_ACTons&lt;150,IF(ac_IPLVN&gt;=ac_LT150_MinIPLVB,"PATH B",IF(ac_IPLVN&gt;=ac_LT150_MinIPLVA,"PATH A","DNQ")),"OTHER")</f>
        <v>OTHER</v>
      </c>
      <c r="C8" s="95"/>
    </row>
    <row r="9" spans="1:17" hidden="1" x14ac:dyDescent="0.25"/>
    <row r="10" spans="1:17" ht="18.75" hidden="1" x14ac:dyDescent="0.25">
      <c r="A10" s="88" t="s">
        <v>166</v>
      </c>
      <c r="B10" s="86">
        <f>IF(ac_EERN&lt;ac_EERQualA,"DNQ",(ac_SkWFact*ac_ACTons*(12/ac_EERMinA-12/ac_EERN)))</f>
        <v>10.586471731285251</v>
      </c>
      <c r="C10" s="86"/>
      <c r="F10" s="82"/>
      <c r="G10" s="70" t="s">
        <v>167</v>
      </c>
      <c r="Q10" s="78" t="s">
        <v>168</v>
      </c>
    </row>
    <row r="11" spans="1:17" ht="20.25" hidden="1" x14ac:dyDescent="0.25">
      <c r="A11" s="88" t="s">
        <v>169</v>
      </c>
      <c r="B11" s="86">
        <f>IF(ac_EERN&lt;ac_EERQualA,"DNQ",(ac_WkWFact*ac_ACTons*(12/ac_EERMinA-12/ac_EERN)))</f>
        <v>2.2760914222263287</v>
      </c>
      <c r="C11" s="86"/>
      <c r="G11" s="70" t="s">
        <v>170</v>
      </c>
      <c r="Q11" s="78" t="s">
        <v>171</v>
      </c>
    </row>
    <row r="12" spans="1:17" ht="18.75" hidden="1" x14ac:dyDescent="0.25">
      <c r="A12" s="88" t="s">
        <v>172</v>
      </c>
      <c r="B12" s="86">
        <f>IF(ac_EERN&lt;ac_EERQualA,"DNQ",(ac_kWhFact*ac_ACTons*(12/ac_EERMinA-12/ac_EERN)))</f>
        <v>43955.030628296357</v>
      </c>
      <c r="C12" s="86"/>
      <c r="G12" s="70"/>
      <c r="Q12" s="78" t="s">
        <v>173</v>
      </c>
    </row>
    <row r="13" spans="1:17" ht="18.75" hidden="1" x14ac:dyDescent="0.25">
      <c r="A13" s="88" t="s">
        <v>174</v>
      </c>
      <c r="B13" s="87">
        <f>IF(ac_EERN&lt;ac_EERQualA,"DNQ",(ac_Incent_per_kW*ac_ACTons*(12/ac_EERMinA-12/ac_EERN)))</f>
        <v>1535.0384010363612</v>
      </c>
      <c r="C13" s="87"/>
      <c r="G13" s="70" t="s">
        <v>175</v>
      </c>
      <c r="Q13" s="78" t="s">
        <v>176</v>
      </c>
    </row>
    <row r="14" spans="1:17" ht="18.75" hidden="1" x14ac:dyDescent="0.25">
      <c r="A14" s="88"/>
      <c r="B14" s="88"/>
      <c r="C14" s="88"/>
      <c r="Q14" s="78" t="s">
        <v>177</v>
      </c>
    </row>
    <row r="15" spans="1:17" ht="18.75" hidden="1" x14ac:dyDescent="0.25">
      <c r="A15" s="88" t="s">
        <v>178</v>
      </c>
      <c r="B15" s="86">
        <f>IF(ac_EERN&lt;ac_EERQualB,"DNQ",(ac_SkWFact*ac_ACTons*(12/ac_EERMinB-12/ac_EERN)))</f>
        <v>18.371712110993339</v>
      </c>
      <c r="C15" s="86"/>
      <c r="G15" s="70" t="s">
        <v>179</v>
      </c>
    </row>
    <row r="16" spans="1:17" ht="20.25" hidden="1" x14ac:dyDescent="0.25">
      <c r="A16" s="88" t="s">
        <v>180</v>
      </c>
      <c r="B16" s="86">
        <f>IF(ac_EERN&lt;ac_EERQualB,"DNQ",(ac_WkWFact*ac_ACTons*(12/ac_EERMinB-12/ac_EERN)))</f>
        <v>3.9499181038635678</v>
      </c>
      <c r="C16" s="86"/>
      <c r="G16" s="70" t="s">
        <v>181</v>
      </c>
    </row>
    <row r="17" spans="1:34" hidden="1" x14ac:dyDescent="0.25">
      <c r="A17" s="88" t="s">
        <v>182</v>
      </c>
      <c r="B17" s="86">
        <f>IF(ac_EERN&lt;ac_EERQualB,"DNQ",(ac_kWhFact*ac_ACTons*(12/ac_EERMinB-12/ac_EERN)))</f>
        <v>76279.348684844357</v>
      </c>
      <c r="C17" s="86"/>
    </row>
    <row r="18" spans="1:34" hidden="1" x14ac:dyDescent="0.25">
      <c r="A18" s="88" t="s">
        <v>183</v>
      </c>
      <c r="B18" s="87">
        <f>IF(ac_EERN&lt;ac_EERQualB,"DNQ",(ac_Incent_per_kW*ac_ACTons*(12/ac_EERMinB-12/ac_EERN)))</f>
        <v>2663.8982560940344</v>
      </c>
      <c r="C18" s="87"/>
    </row>
    <row r="19" spans="1:34" ht="21" customHeight="1" x14ac:dyDescent="0.3">
      <c r="A19" s="103" t="s">
        <v>184</v>
      </c>
      <c r="B19" s="131"/>
      <c r="C19" s="131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1:34" ht="21" customHeight="1" x14ac:dyDescent="0.3">
      <c r="A20" s="132"/>
      <c r="B20" s="131"/>
      <c r="C20" s="131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</row>
    <row r="21" spans="1:34" ht="21" customHeight="1" x14ac:dyDescent="0.25">
      <c r="A21" s="102" t="s">
        <v>185</v>
      </c>
      <c r="B21" s="87"/>
      <c r="C21" s="176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</row>
    <row r="22" spans="1:34" ht="15" customHeight="1" thickBot="1" x14ac:dyDescent="0.35">
      <c r="A22" s="132"/>
      <c r="B22" s="131"/>
      <c r="C22" s="186" t="str">
        <f>B6</f>
        <v>PATH A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</row>
    <row r="23" spans="1:34" ht="15.75" x14ac:dyDescent="0.25">
      <c r="A23" s="150" t="s">
        <v>186</v>
      </c>
      <c r="B23" s="151" t="s">
        <v>187</v>
      </c>
      <c r="C23" s="152" t="s">
        <v>188</v>
      </c>
      <c r="D23" s="133"/>
      <c r="E23" s="18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</row>
    <row r="24" spans="1:34" x14ac:dyDescent="0.25">
      <c r="A24" s="154" t="s">
        <v>2</v>
      </c>
      <c r="B24" s="155" t="s">
        <v>3</v>
      </c>
      <c r="C24" s="155" t="s">
        <v>4</v>
      </c>
      <c r="D24" s="134"/>
      <c r="E24" s="18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</row>
    <row r="25" spans="1:34" x14ac:dyDescent="0.25">
      <c r="A25" s="154" t="s">
        <v>189</v>
      </c>
      <c r="B25" s="155" t="s">
        <v>189</v>
      </c>
      <c r="C25" s="155" t="s">
        <v>190</v>
      </c>
      <c r="D25" s="134"/>
      <c r="E25" s="18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</row>
    <row r="26" spans="1:34" x14ac:dyDescent="0.25">
      <c r="A26" s="156" t="s">
        <v>191</v>
      </c>
      <c r="B26" s="157" t="s">
        <v>192</v>
      </c>
      <c r="C26" s="157" t="s">
        <v>188</v>
      </c>
      <c r="D26" s="134"/>
      <c r="E26" s="18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</row>
    <row r="27" spans="1:34" x14ac:dyDescent="0.25">
      <c r="A27" s="75" t="s">
        <v>193</v>
      </c>
      <c r="B27" s="76" t="s">
        <v>194</v>
      </c>
      <c r="C27" s="101">
        <v>158.9</v>
      </c>
      <c r="D27" s="134"/>
      <c r="E27" s="18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</row>
    <row r="28" spans="1:34" x14ac:dyDescent="0.25">
      <c r="A28" s="75" t="s">
        <v>195</v>
      </c>
      <c r="B28" s="76"/>
      <c r="C28" s="173">
        <v>10.7</v>
      </c>
      <c r="D28" s="134"/>
      <c r="E28" s="18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</row>
    <row r="29" spans="1:34" hidden="1" x14ac:dyDescent="0.25">
      <c r="A29" s="75" t="s">
        <v>196</v>
      </c>
      <c r="B29" s="76" t="s">
        <v>197</v>
      </c>
      <c r="C29" s="168">
        <f>IF(C28&lt;12/INPUTS!C17,12/C28,C28)</f>
        <v>10.7</v>
      </c>
      <c r="D29" s="134"/>
      <c r="E29" s="18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</row>
    <row r="30" spans="1:34" ht="15" customHeight="1" thickBot="1" x14ac:dyDescent="0.3">
      <c r="A30" s="73" t="s">
        <v>198</v>
      </c>
      <c r="B30" s="165"/>
      <c r="C30" s="167">
        <v>14.8</v>
      </c>
      <c r="D30" s="166"/>
      <c r="E30" s="18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</row>
    <row r="31" spans="1:34" ht="17.25" hidden="1" customHeight="1" thickBot="1" x14ac:dyDescent="0.3">
      <c r="A31" s="73" t="s">
        <v>199</v>
      </c>
      <c r="B31" s="74" t="s">
        <v>200</v>
      </c>
      <c r="C31" s="169">
        <f>IF(C30&lt;=12/INPUTS!C15,12/C30,C30)</f>
        <v>14.8</v>
      </c>
      <c r="D31" s="135"/>
      <c r="E31" s="18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</row>
    <row r="32" spans="1:34" ht="17.25" customHeight="1" thickBot="1" x14ac:dyDescent="0.3">
      <c r="A32" s="73" t="s">
        <v>387</v>
      </c>
      <c r="B32" s="165"/>
      <c r="C32" s="189">
        <v>1</v>
      </c>
      <c r="D32" s="188"/>
      <c r="E32" s="18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</row>
    <row r="33" spans="1:31" ht="15.75" thickBot="1" x14ac:dyDescent="0.3">
      <c r="A33" s="139"/>
      <c r="B33" s="140"/>
      <c r="C33" s="141"/>
      <c r="D33" s="137"/>
      <c r="E33" s="137"/>
      <c r="F33" s="137"/>
      <c r="G33" s="137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</row>
    <row r="34" spans="1:31" ht="18.75" customHeight="1" x14ac:dyDescent="0.3">
      <c r="A34" s="191" t="s">
        <v>201</v>
      </c>
      <c r="B34" s="138"/>
      <c r="C34" s="153"/>
      <c r="D34" s="136"/>
      <c r="E34" s="190" t="s">
        <v>388</v>
      </c>
      <c r="F34" s="68"/>
      <c r="G34" s="68"/>
      <c r="H34" s="68"/>
      <c r="I34" s="68"/>
      <c r="J34" s="68"/>
      <c r="K34" s="68" t="s">
        <v>202</v>
      </c>
      <c r="L34" s="68" t="s">
        <v>203</v>
      </c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</row>
    <row r="35" spans="1:31" x14ac:dyDescent="0.25">
      <c r="A35" s="162" t="s">
        <v>204</v>
      </c>
      <c r="B35" s="68"/>
      <c r="C35" s="69">
        <f>IF(ac_PATH="PATH A",ac_Path_A_SkW,IF(ac_PATH="PATH B",ac_Path_B_SkW,ac_PATH))</f>
        <v>10.586471731285251</v>
      </c>
      <c r="D35" s="68"/>
      <c r="E35" s="69">
        <f>+C35*C32</f>
        <v>10.586471731285251</v>
      </c>
      <c r="F35" s="68"/>
      <c r="G35" s="68"/>
      <c r="H35" s="68"/>
      <c r="I35" s="68"/>
      <c r="J35" s="68"/>
      <c r="K35" s="68" t="s">
        <v>205</v>
      </c>
      <c r="L35" s="68" t="s">
        <v>206</v>
      </c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</row>
    <row r="36" spans="1:31" x14ac:dyDescent="0.25">
      <c r="A36" s="162" t="s">
        <v>207</v>
      </c>
      <c r="B36" s="68"/>
      <c r="C36" s="69">
        <f>IF(ac_PATH="PATH A",ac_Path_A_WkW,IF(ac_PATH="PATH B",ac_Path_B_WkW,ac_PATH))</f>
        <v>2.2760914222263287</v>
      </c>
      <c r="D36" s="68"/>
      <c r="E36" s="69">
        <f>+C36*C32</f>
        <v>2.2760914222263287</v>
      </c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</row>
    <row r="37" spans="1:31" x14ac:dyDescent="0.25">
      <c r="A37" s="162" t="s">
        <v>208</v>
      </c>
      <c r="B37" s="68"/>
      <c r="C37" s="69">
        <f>IF(ac_PATH="PATH A",ac_Path_A_kWh,IF(ac_PATH="PATH B",ac_Path_B_kWh,ac_PATH))</f>
        <v>43955.030628296357</v>
      </c>
      <c r="D37" s="68"/>
      <c r="E37" s="69">
        <f>+C37*C32</f>
        <v>43955.030628296357</v>
      </c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</row>
    <row r="38" spans="1:31" x14ac:dyDescent="0.25">
      <c r="A38" s="162" t="s">
        <v>209</v>
      </c>
      <c r="B38" s="68"/>
      <c r="C38" s="72">
        <f>IF(ac_PATH="PATH A",ac_Path_A_Icentive,IF(ac_PATH="PATH B",ac_Path_B_Icentive,ac_PATH))</f>
        <v>1535.0384010363612</v>
      </c>
      <c r="D38" s="68"/>
      <c r="E38" s="72">
        <f>+C38*C32</f>
        <v>1535.0384010363612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</row>
    <row r="39" spans="1:31" ht="15.75" x14ac:dyDescent="0.25">
      <c r="A39" s="158" t="s">
        <v>210</v>
      </c>
      <c r="B39" s="159"/>
      <c r="C39" s="159"/>
      <c r="D39" s="68"/>
      <c r="E39" s="159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</row>
    <row r="40" spans="1:31" x14ac:dyDescent="0.25">
      <c r="A40" s="142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</row>
    <row r="41" spans="1:31" ht="15.75" x14ac:dyDescent="0.25">
      <c r="A41" s="128" t="s">
        <v>211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</row>
    <row r="42" spans="1:31" x14ac:dyDescent="0.25">
      <c r="A42" s="130" t="s">
        <v>212</v>
      </c>
      <c r="B42" s="68"/>
      <c r="C42" s="129" t="s">
        <v>213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</row>
    <row r="43" spans="1:31" x14ac:dyDescent="0.25">
      <c r="A43" s="130"/>
      <c r="B43" s="68"/>
      <c r="C43" s="129" t="s">
        <v>214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</row>
    <row r="44" spans="1:31" x14ac:dyDescent="0.25">
      <c r="A44" s="130" t="s">
        <v>215</v>
      </c>
      <c r="B44" s="68"/>
      <c r="C44" s="129" t="s">
        <v>216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</row>
    <row r="45" spans="1:31" ht="18" x14ac:dyDescent="0.25">
      <c r="A45" s="143"/>
      <c r="B45" s="68"/>
      <c r="C45" s="129" t="s">
        <v>217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</row>
    <row r="46" spans="1:31" x14ac:dyDescent="0.2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</row>
    <row r="47" spans="1:31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</row>
    <row r="48" spans="1:31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</row>
    <row r="49" spans="1:31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</row>
    <row r="50" spans="1:31" x14ac:dyDescent="0.2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</row>
    <row r="51" spans="1:31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</row>
    <row r="52" spans="1:31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</row>
    <row r="53" spans="1:31" x14ac:dyDescent="0.2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</row>
    <row r="54" spans="1:31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</row>
    <row r="55" spans="1:31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</row>
    <row r="56" spans="1:31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</row>
    <row r="57" spans="1:3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</row>
    <row r="58" spans="1:31" x14ac:dyDescent="0.2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</row>
  </sheetData>
  <sheetProtection algorithmName="SHA-512" hashValue="EhTh9BRnsr7BRGit4BzIJbuGIXbAjPYrOekihx6WRBBQRZn8JfT6GWiqHZRAfr78AANMPdlc/xRs1EyM9NSGiw==" saltValue="Ur195yKd+lnllkS4NhYqhw==" spinCount="100000" sheet="1" objects="1" scenarios="1"/>
  <hyperlinks>
    <hyperlink ref="C42" r:id="rId1" xr:uid="{D0F91C1F-7B7B-45C6-8378-7AB29CDBCBE1}"/>
    <hyperlink ref="C44" r:id="rId2" display="Mike_Catarzi@fpl.com" xr:uid="{4BC4E28A-49D2-4ED6-A52E-7F31B4E1D947}"/>
    <hyperlink ref="C44" r:id="rId3" xr:uid="{C7B7258D-C162-4F0A-9EB9-19D62967A7CA}"/>
    <hyperlink ref="C45" r:id="rId4" xr:uid="{C433471F-F4E4-4A05-B244-B9A42429FE6A}"/>
    <hyperlink ref="C43" r:id="rId5" xr:uid="{E3D3329D-CE73-4CC3-A668-1EF336340A58}"/>
  </hyperlinks>
  <pageMargins left="0.7" right="0.7" top="0.75" bottom="0.75" header="0.3" footer="0.3"/>
  <pageSetup orientation="portrait" horizontalDpi="90" verticalDpi="9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E53F-2664-4609-9E38-0C15A2B7C809}">
  <dimension ref="A2:V79"/>
  <sheetViews>
    <sheetView zoomScale="140" zoomScaleNormal="140" workbookViewId="0">
      <selection activeCell="C35" sqref="C35"/>
    </sheetView>
  </sheetViews>
  <sheetFormatPr defaultRowHeight="15" x14ac:dyDescent="0.25"/>
  <cols>
    <col min="1" max="1" width="36.28515625" customWidth="1"/>
    <col min="2" max="2" width="16.85546875" hidden="1" customWidth="1"/>
    <col min="3" max="3" width="27.7109375" customWidth="1"/>
    <col min="4" max="4" width="0.42578125" customWidth="1"/>
    <col min="5" max="5" width="16.28515625" customWidth="1"/>
    <col min="6" max="6" width="21.42578125" bestFit="1" customWidth="1"/>
    <col min="7" max="7" width="22.140625" bestFit="1" customWidth="1"/>
    <col min="9" max="9" width="3.42578125" customWidth="1"/>
    <col min="10" max="10" width="20.5703125" bestFit="1" customWidth="1"/>
    <col min="11" max="11" width="21.42578125" bestFit="1" customWidth="1"/>
    <col min="12" max="12" width="11.5703125" bestFit="1" customWidth="1"/>
    <col min="13" max="13" width="4.140625" customWidth="1"/>
    <col min="14" max="14" width="19.140625" bestFit="1" customWidth="1"/>
    <col min="15" max="15" width="21.140625" bestFit="1" customWidth="1"/>
    <col min="16" max="16" width="11.5703125" bestFit="1" customWidth="1"/>
  </cols>
  <sheetData>
    <row r="2" spans="1:16" hidden="1" x14ac:dyDescent="0.25"/>
    <row r="3" spans="1:16" hidden="1" x14ac:dyDescent="0.25"/>
    <row r="4" spans="1:16" ht="18.75" hidden="1" x14ac:dyDescent="0.3">
      <c r="A4" s="77" t="s">
        <v>218</v>
      </c>
      <c r="F4" s="70" t="s">
        <v>167</v>
      </c>
      <c r="K4" s="78" t="s">
        <v>168</v>
      </c>
    </row>
    <row r="5" spans="1:16" ht="20.25" hidden="1" x14ac:dyDescent="0.25">
      <c r="A5" s="79" t="s">
        <v>219</v>
      </c>
      <c r="B5" s="79" t="s">
        <v>220</v>
      </c>
      <c r="C5" s="80" t="str">
        <f>IF(wcc_ACTons&lt;150,wcc_PathLT150,IF(wcc_ACTons&lt;300,wcc_Path151to300,IF(wcc_ACTons&lt;400,wcc_PathLT301to400,IF(wcc_ACTons&lt;600,wcc_PathLT401to600,wcc_PathGT600))))</f>
        <v>PATH A</v>
      </c>
      <c r="F5" s="70" t="s">
        <v>170</v>
      </c>
      <c r="K5" s="78" t="s">
        <v>171</v>
      </c>
    </row>
    <row r="6" spans="1:16" ht="18.75" hidden="1" x14ac:dyDescent="0.25">
      <c r="A6" t="s">
        <v>221</v>
      </c>
      <c r="B6" t="s">
        <v>222</v>
      </c>
      <c r="C6" t="str">
        <f>IF(wcc_ACTons&lt;150,IF(wcc_IPLVN&lt;=wcc_LT150_MinIPLVB,"PATH B",IF(wcc_IPLVN&lt;=wcc_LT150_MinIPLVA,"PATH A","DNQ")),"OTHER")</f>
        <v>PATH A</v>
      </c>
      <c r="K6" s="78" t="s">
        <v>173</v>
      </c>
    </row>
    <row r="7" spans="1:16" ht="18.75" hidden="1" x14ac:dyDescent="0.25">
      <c r="A7" t="s">
        <v>223</v>
      </c>
      <c r="B7" t="s">
        <v>224</v>
      </c>
      <c r="C7" t="str">
        <f>IF(AND(wcc_ACTons&gt;=150,wcc_ACTons&lt;300),IF(wcc_IPLVN&lt;=wcc_151to300_MinIPLVB,"PATH B",IF(wcc_IPLVN&lt;=wcc_151to300_MinIPLVA,"PATH A","DNQ")),"OTHER")</f>
        <v>OTHER</v>
      </c>
      <c r="F7" s="70" t="s">
        <v>175</v>
      </c>
      <c r="K7" s="78" t="s">
        <v>176</v>
      </c>
    </row>
    <row r="8" spans="1:16" ht="18.75" hidden="1" x14ac:dyDescent="0.25">
      <c r="A8" t="s">
        <v>225</v>
      </c>
      <c r="B8" t="s">
        <v>226</v>
      </c>
      <c r="C8" t="str">
        <f>IF(AND(wcc_ACTons&gt;=300,wcc_ACTons&lt;400),IF(wcc_IPLVN&lt;=wcc_301to400_MinIPLVB,"PATH B",IF(wcc_IPLVN&lt;=wcc_301to400_MinIPLVA,"PATH A","DNQ")),"OTHER")</f>
        <v>OTHER</v>
      </c>
      <c r="K8" s="78" t="s">
        <v>177</v>
      </c>
    </row>
    <row r="9" spans="1:16" ht="18.75" hidden="1" x14ac:dyDescent="0.25">
      <c r="A9" t="s">
        <v>227</v>
      </c>
      <c r="B9" t="s">
        <v>228</v>
      </c>
      <c r="C9" t="str">
        <f>IF(AND(wcc_ACTons&gt;=400,wcc_ACTons&lt;600),IF(wcc_IPLVN&lt;=wcc_401to600_MinIPLVB,"PATH B",IF(wcc_IPLVN&lt;=wcc_401to600_MinIPLVA,"PATH A","DNQ")),"OTHER")</f>
        <v>OTHER</v>
      </c>
      <c r="F9" s="70" t="s">
        <v>179</v>
      </c>
    </row>
    <row r="10" spans="1:16" ht="20.25" hidden="1" x14ac:dyDescent="0.25">
      <c r="A10" t="s">
        <v>229</v>
      </c>
      <c r="B10" t="s">
        <v>230</v>
      </c>
      <c r="C10" t="str">
        <f>IF(wcc_ACTons&gt;=600,IF(wcc_IPLVN&lt;=wcc_GT600_MinIPLVB,"PATH B",IF(wcc_IPLVN&lt;=wcc_GT600_MinIPLVA,"PATH A","DNQ")),"OTHER")</f>
        <v>OTHER</v>
      </c>
      <c r="F10" s="70" t="s">
        <v>231</v>
      </c>
    </row>
    <row r="11" spans="1:16" ht="17.25" hidden="1" customHeight="1" x14ac:dyDescent="0.25"/>
    <row r="12" spans="1:16" hidden="1" x14ac:dyDescent="0.25"/>
    <row r="13" spans="1:16" hidden="1" x14ac:dyDescent="0.25">
      <c r="A13" s="79" t="s">
        <v>166</v>
      </c>
      <c r="B13" s="79" t="s">
        <v>232</v>
      </c>
      <c r="C13" s="81">
        <f>IF(wcc_ACTons&lt;150,C14,IF(wcc_ACTons&lt;300,C15,IF(wcc_ACTons&lt;400,C16,IF(wcc_ACTons&lt;600,C17,C18))))</f>
        <v>3.8766927023154807</v>
      </c>
      <c r="D13" s="82"/>
      <c r="E13" s="82"/>
      <c r="F13" s="79" t="s">
        <v>169</v>
      </c>
      <c r="G13" s="79" t="s">
        <v>233</v>
      </c>
      <c r="H13" s="81">
        <f>IF(wcc_ACTons&lt;150,H14,IF(wcc_ACTons&lt;300,H15,IF(wcc_ACTons&lt;400,H16,IF(wcc_ACTons&lt;600,H17,H18))))</f>
        <v>0.83348893099782839</v>
      </c>
      <c r="J13" s="79" t="s">
        <v>172</v>
      </c>
      <c r="K13" s="79" t="s">
        <v>234</v>
      </c>
      <c r="L13" s="83">
        <f>IF(wcc_ACTons&lt;150,L14,IF(wcc_ACTons&lt;300,L15,IF(wcc_ACTons&lt;400,L16,IF(wcc_ACTons&lt;600,L17,L18))))</f>
        <v>16096.028100013877</v>
      </c>
      <c r="N13" s="79" t="s">
        <v>174</v>
      </c>
      <c r="O13" s="79" t="s">
        <v>235</v>
      </c>
      <c r="P13" s="84">
        <f>IF(wcc_ACTons&lt;150,P14,IF(wcc_ACTons&lt;300,P15,IF(wcc_ACTons&lt;400,P16,IF(wcc_ACTons&lt;600,P17,P18))))</f>
        <v>562.12044183574471</v>
      </c>
    </row>
    <row r="14" spans="1:16" hidden="1" x14ac:dyDescent="0.25">
      <c r="A14" t="s">
        <v>236</v>
      </c>
      <c r="B14" t="s">
        <v>237</v>
      </c>
      <c r="C14" s="85">
        <f>IF(wcc_ACTons&lt;150,IF(wcc_EERN&lt;wcc_EERQualA_LT150,"DNQ",(wc_SkWFact*wcc_ACTons*(12/wcc_EERMinA_LT150-12/wcc_EERN))),"OTHER")</f>
        <v>3.8766927023154807</v>
      </c>
      <c r="F14" t="s">
        <v>238</v>
      </c>
      <c r="G14" t="s">
        <v>239</v>
      </c>
      <c r="H14" s="85">
        <f>IF(wcc_ACTons&lt;150,IF(wcc_EERN&lt;wcc_EERQualA_LT150,"DNQ",(wc_WkWFact*wcc_ACTons*(12/wcc_EERMinA_LT150-12/wcc_EERN))),"OTHER")</f>
        <v>0.83348893099782839</v>
      </c>
      <c r="J14" t="s">
        <v>240</v>
      </c>
      <c r="K14" t="s">
        <v>241</v>
      </c>
      <c r="L14" s="86">
        <f>IF(wcc_ACTons&lt;150,IF(wcc_EERN&lt;wcc_EERQualA_LT150,"DNQ",(wc_kWhFact*wcc_ACTons*(12/wcc_EERMinA_LT150-12/wcc_EERN))),"OTHER")</f>
        <v>16096.028100013877</v>
      </c>
      <c r="N14" t="s">
        <v>242</v>
      </c>
      <c r="O14" t="s">
        <v>243</v>
      </c>
      <c r="P14" s="87">
        <f>IF(wcc_ACTons&lt;150,IF(wcc_EERN&lt;wcc_EERQualA_LT150,"DNQ",(wc_Incent_per_kW*wcc_ACTons*(12/wcc_EERMinA_LT150-12/wcc_EERN))),"OTHER")</f>
        <v>562.12044183574471</v>
      </c>
    </row>
    <row r="15" spans="1:16" hidden="1" x14ac:dyDescent="0.25">
      <c r="A15" t="s">
        <v>244</v>
      </c>
      <c r="B15" t="s">
        <v>245</v>
      </c>
      <c r="C15" s="85" t="str">
        <f>IF(AND(wcc_ACTons&gt;=150,wcc_ACTons&lt;300),IF(wcc_EERN&lt;wcc_EERQualA_151to300,"DNQ",(wc_SkWFact*wcc_ACTons*(12/wcc_EERMinA_151to300-12/wcc_EERN))),"OTHER")</f>
        <v>OTHER</v>
      </c>
      <c r="F15" t="s">
        <v>246</v>
      </c>
      <c r="G15" t="s">
        <v>247</v>
      </c>
      <c r="H15" s="85" t="str">
        <f>IF(AND(wcc_ACTons&gt;=150,wcc_ACTons&lt;300),IF(wcc_EERN&lt;wcc_EERQualA_151to300,"DNQ",(wc_WkWFact*wcc_ACTons*(12/wcc_EERMinA_151to300-12/wcc_EERN))),"OTHER")</f>
        <v>OTHER</v>
      </c>
      <c r="J15" t="s">
        <v>248</v>
      </c>
      <c r="K15" t="s">
        <v>249</v>
      </c>
      <c r="L15" s="86" t="str">
        <f>IF(AND(wcc_ACTons&gt;=150,wcc_ACTons&lt;300),IF(wcc_EERN&lt;wcc_EERQualA_151to300,"DNQ",(wc_kWhFact*wcc_ACTons*(12/wcc_EERMinA_151to300-12/wcc_EERN))),"OTHER")</f>
        <v>OTHER</v>
      </c>
      <c r="N15" t="s">
        <v>250</v>
      </c>
      <c r="O15" t="s">
        <v>251</v>
      </c>
      <c r="P15" s="87" t="str">
        <f>IF(AND(wcc_ACTons&gt;=150,wcc_ACTons&lt;300),IF(wcc_EERN&lt;wcc_EERQualA_151to300,"DNQ",(wc_Incent_per_kW*wcc_ACTons*(12/wcc_EERMinA_151to300-12/wcc_EERN))),"OTHER")</f>
        <v>OTHER</v>
      </c>
    </row>
    <row r="16" spans="1:16" hidden="1" x14ac:dyDescent="0.25">
      <c r="A16" t="s">
        <v>252</v>
      </c>
      <c r="B16" t="s">
        <v>253</v>
      </c>
      <c r="C16" s="85" t="str">
        <f>IF(AND(wcc_ACTons&gt;=300,wcc_ACTons&lt;400),IF(wcc_EERN&lt;wcc_EERQualA_301to400,"DNQ",(wc_SkWFact*wcc_ACTons*(12/wcc_EERMinA_301to400-12/wcc_EERN))),"OTHER")</f>
        <v>OTHER</v>
      </c>
      <c r="F16" t="s">
        <v>254</v>
      </c>
      <c r="G16" t="s">
        <v>255</v>
      </c>
      <c r="H16" s="85" t="str">
        <f>IF(AND(wcc_ACTons&gt;=300,wcc_ACTons&lt;400),IF(wcc_EERN&lt;wcc_EERQualA_301to400,"DNQ",(wc_WkWFact*wcc_ACTons*(12/wcc_EERMinA_301to400-12/wcc_EERN))),"OTHER")</f>
        <v>OTHER</v>
      </c>
      <c r="J16" t="s">
        <v>256</v>
      </c>
      <c r="K16" t="s">
        <v>257</v>
      </c>
      <c r="L16" s="86" t="str">
        <f>IF(AND(wcc_ACTons&gt;=300,wcc_ACTons&lt;400),IF(wcc_EERN&lt;wcc_EERQualA_301to400,"DNQ",(wc_kWhFact*wcc_ACTons*(12/wcc_EERMinA_301to400-12/wcc_EERN))),"OTHER")</f>
        <v>OTHER</v>
      </c>
      <c r="N16" t="s">
        <v>258</v>
      </c>
      <c r="O16" t="s">
        <v>259</v>
      </c>
      <c r="P16" s="87" t="str">
        <f>IF(AND(wcc_ACTons&gt;=300,wcc_ACTons&lt;400),IF(wcc_EERN&lt;wcc_EERQualA_301to400,"DNQ",(wc_Incent_per_kW*wcc_ACTons*(12/wcc_EERMinA_301to400-12/wcc_EERN))),"OTHER")</f>
        <v>OTHER</v>
      </c>
    </row>
    <row r="17" spans="1:22" hidden="1" x14ac:dyDescent="0.25">
      <c r="A17" t="s">
        <v>260</v>
      </c>
      <c r="B17" t="s">
        <v>261</v>
      </c>
      <c r="C17" s="85" t="str">
        <f>IF(AND(wcc_ACTons&gt;=400,wcc_ACTons&lt;600),IF(wcc_EERN&lt;wcc_EERQualA_401to600,"DNQ",(wc_SkWFact*wcc_ACTons*(12/wcc_EERMinA_401to600-12/wcc_EERN))),"OTHER")</f>
        <v>OTHER</v>
      </c>
      <c r="F17" t="s">
        <v>262</v>
      </c>
      <c r="G17" t="s">
        <v>263</v>
      </c>
      <c r="H17" s="85" t="str">
        <f>IF(AND(wcc_ACTons&gt;=400,wcc_ACTons&lt;600),IF(wcc_EERN&lt;wcc_EERQualA_401to600,"DNQ",(wc_WkWFact*wcc_ACTons*(12/wcc_EERMinA_401to600-12/wcc_EERN))),"OTHER")</f>
        <v>OTHER</v>
      </c>
      <c r="J17" t="s">
        <v>264</v>
      </c>
      <c r="K17" t="s">
        <v>265</v>
      </c>
      <c r="L17" s="86" t="str">
        <f>IF(AND(wcc_ACTons&gt;=400,wcc_ACTons&lt;600),IF(wcc_EERN&lt;wcc_EERQualA_401to600,"DNQ",(wc_kWhFact*wcc_ACTons*(12/wcc_EERMinA_401to600-12/wcc_EERN))),"OTHER")</f>
        <v>OTHER</v>
      </c>
      <c r="N17" t="s">
        <v>266</v>
      </c>
      <c r="O17" t="s">
        <v>267</v>
      </c>
      <c r="P17" s="87" t="str">
        <f>IF(AND(wcc_ACTons&gt;=400,wcc_ACTons&lt;600),IF(wcc_EERN&lt;wcc_EERQualA_401to600,"DNQ",(wc_Incent_per_kW*wcc_ACTons*(12/wcc_EERMinA_401to600-12/wcc_EERN))),"OTHER")</f>
        <v>OTHER</v>
      </c>
    </row>
    <row r="18" spans="1:22" hidden="1" x14ac:dyDescent="0.25">
      <c r="A18" t="s">
        <v>268</v>
      </c>
      <c r="B18" t="s">
        <v>269</v>
      </c>
      <c r="C18" s="85" t="str">
        <f>IF(wcc_ACTons&gt;=600,IF(wcc_EERN&lt;wcc_EERQualA_GT600,"DNQ",(wc_SkWFact*wcc_ACTons*(12/wcc_EERMinA_GT600-12/wcc_EERN))),"OTHER")</f>
        <v>OTHER</v>
      </c>
      <c r="F18" t="s">
        <v>270</v>
      </c>
      <c r="G18" t="s">
        <v>271</v>
      </c>
      <c r="H18" s="85" t="str">
        <f>IF(wcc_ACTons&gt;=600,IF(wcc_EERN&lt;wcc_EERQualA_GT600,"DNQ",(wc_WkWFact*wcc_ACTons*(12/wcc_EERMinA_GT600-12/wcc_EERN))),"OTHER")</f>
        <v>OTHER</v>
      </c>
      <c r="J18" t="s">
        <v>272</v>
      </c>
      <c r="K18" t="s">
        <v>273</v>
      </c>
      <c r="L18" s="86" t="str">
        <f>IF(wcc_ACTons&gt;=600,IF(wcc_EERN&lt;wcc_EERQualA_GT600,"DNQ",(wc_kWhFact*wcc_ACTons*(12/wcc_EERMinA_GT600-12/wcc_EERN))),"OTHER")</f>
        <v>OTHER</v>
      </c>
      <c r="N18" t="s">
        <v>274</v>
      </c>
      <c r="O18" t="s">
        <v>275</v>
      </c>
      <c r="P18" s="87" t="str">
        <f>IF(wcc_ACTons&gt;=600,IF(wcc_EERN&lt;wcc_EERQualA_GT600,"DNQ",(wc_Incent_per_kW*wcc_ACTons*(12/wcc_EERMinA_GT600-12/wcc_EERN))),"OTHER")</f>
        <v>OTHER</v>
      </c>
    </row>
    <row r="19" spans="1:22" hidden="1" x14ac:dyDescent="0.25">
      <c r="C19" s="85"/>
      <c r="H19" s="85"/>
      <c r="L19" s="86"/>
      <c r="P19" s="87"/>
    </row>
    <row r="20" spans="1:22" hidden="1" x14ac:dyDescent="0.25">
      <c r="B20" s="88"/>
    </row>
    <row r="21" spans="1:22" hidden="1" x14ac:dyDescent="0.25">
      <c r="A21" s="79" t="s">
        <v>178</v>
      </c>
      <c r="B21" s="79" t="s">
        <v>276</v>
      </c>
      <c r="C21" s="81">
        <f>IF(wcc_ACTons&lt;150,C22,IF(wcc_ACTons&lt;300,C23,IF(wcc_ACTons&lt;400,C24,IF(wcc_ACTons&lt;600,C25,C26))))</f>
        <v>8.9635205558772491</v>
      </c>
      <c r="D21" s="82"/>
      <c r="E21" s="82"/>
      <c r="F21" s="79" t="s">
        <v>180</v>
      </c>
      <c r="G21" s="79" t="s">
        <v>277</v>
      </c>
      <c r="H21" s="81">
        <f>IF(wcc_ACTons&lt;150,H22,IF(wcc_ACTons&lt;300,H23,IF(wcc_ACTons&lt;400,H24,IF(wcc_ACTons&lt;600,H25,H26))))</f>
        <v>1.9271569195136087</v>
      </c>
      <c r="J21" s="79" t="s">
        <v>182</v>
      </c>
      <c r="K21" s="79" t="s">
        <v>278</v>
      </c>
      <c r="L21" s="83">
        <f>IF(wcc_ACTons&lt;150,L22,IF(wcc_ACTons&lt;300,L23,IF(wcc_ACTons&lt;400,L24,IF(wcc_ACTons&lt;600,L25,L26))))</f>
        <v>37216.537348002341</v>
      </c>
      <c r="N21" s="79" t="s">
        <v>183</v>
      </c>
      <c r="O21" s="79" t="s">
        <v>279</v>
      </c>
      <c r="P21" s="84">
        <f>IF(wcc_ACTons&lt;150,P22,IF(wcc_ACTons&lt;300,P23,IF(wcc_ACTons&lt;400,P24,IF(wcc_ACTons&lt;600,P25,P26))))</f>
        <v>1299.7104806022012</v>
      </c>
    </row>
    <row r="22" spans="1:22" hidden="1" x14ac:dyDescent="0.25">
      <c r="A22" t="s">
        <v>280</v>
      </c>
      <c r="B22" t="s">
        <v>281</v>
      </c>
      <c r="C22" s="85">
        <f>IF(wcc_ACTons&lt;150,IF(wcc_EERN&lt;wcc_EERQualB_LT150,"DNQ",(wc_SkWFact*wcc_ACTons*(12/wcc_EERMinB_LT150-12/wcc_EERN))),"OTHER")</f>
        <v>8.9635205558772491</v>
      </c>
      <c r="F22" t="s">
        <v>282</v>
      </c>
      <c r="G22" t="s">
        <v>283</v>
      </c>
      <c r="H22" s="85">
        <f>IF(wcc_ACTons&lt;150,IF(wcc_EERN&lt;wcc_EERQualB_LT150,"DNQ",(wc_WkWFact*wcc_ACTons*(12/wcc_EERMinB_LT150-12/wcc_EERN))),"OTHER")</f>
        <v>1.9271569195136087</v>
      </c>
      <c r="J22" t="s">
        <v>284</v>
      </c>
      <c r="K22" t="s">
        <v>285</v>
      </c>
      <c r="L22" s="86">
        <f>IF(wcc_ACTons&lt;150,IF(wcc_EERN&lt;wcc_EERQualB_LT150,"DNQ",(wc_kWhFact*wcc_ACTons*(12/wcc_EERMinB_LT150-12/wcc_EERN))),"OTHER")</f>
        <v>37216.537348002341</v>
      </c>
      <c r="N22" t="s">
        <v>286</v>
      </c>
      <c r="O22" t="s">
        <v>287</v>
      </c>
      <c r="P22" s="87">
        <f>IF(wcc_ACTons&lt;150,IF(wcc_EERN&lt;wcc_EERQualB_LT150,"DNQ",(wc_Incent_per_kW*wcc_ACTons*(12/wcc_EERMinB_LT150-12/wcc_EERN))),"OTHER")</f>
        <v>1299.7104806022012</v>
      </c>
    </row>
    <row r="23" spans="1:22" hidden="1" x14ac:dyDescent="0.25">
      <c r="A23" t="s">
        <v>288</v>
      </c>
      <c r="B23" t="s">
        <v>289</v>
      </c>
      <c r="C23" s="85" t="str">
        <f>IF(AND(wcc_ACTons&gt;=150,wcc_ACTons&lt;300),IF(wcc_EERN&lt;wcc_EERQualB_151to300,"DNQ",(wc_SkWFact*wcc_ACTons*(12/wcc_EERMinB_151to300-12/wcc_EERN))),"OTHER")</f>
        <v>OTHER</v>
      </c>
      <c r="F23" t="s">
        <v>290</v>
      </c>
      <c r="G23" t="s">
        <v>291</v>
      </c>
      <c r="H23" s="85" t="str">
        <f>IF(AND(wcc_ACTons&gt;=150,wcc_ACTons&lt;300),IF(wcc_EERN&lt;wcc_EERQualB_151to300,"DNQ",(wc_WkWFact*wcc_ACTons*(12/wcc_EERMinB_151to300-12/wcc_EERN))),"OTHER")</f>
        <v>OTHER</v>
      </c>
      <c r="J23" t="s">
        <v>292</v>
      </c>
      <c r="K23" t="s">
        <v>293</v>
      </c>
      <c r="L23" s="86" t="str">
        <f>IF(AND(wcc_ACTons&gt;=150,wcc_ACTons&lt;300),IF(wcc_EERN&lt;wcc_EERQualB_151to300,"DNQ",(wc_kWhFact*wcc_ACTons*(12/wcc_EERMinB_151to300-12/wcc_EERN))),"OTHER")</f>
        <v>OTHER</v>
      </c>
      <c r="N23" t="s">
        <v>294</v>
      </c>
      <c r="O23" t="s">
        <v>295</v>
      </c>
      <c r="P23" s="87" t="str">
        <f>IF(AND(wcc_ACTons&gt;=150,wcc_ACTons&lt;300),IF(wcc_EERN&lt;wcc_EERQualB_151to300,"DNQ",(wc_Incent_per_kW*wcc_ACTons*(12/wcc_EERMinB_151to300-12/wcc_EERN))),"OTHER")</f>
        <v>OTHER</v>
      </c>
    </row>
    <row r="24" spans="1:22" hidden="1" x14ac:dyDescent="0.25">
      <c r="A24" t="s">
        <v>296</v>
      </c>
      <c r="B24" t="s">
        <v>297</v>
      </c>
      <c r="C24" s="85" t="str">
        <f>IF(AND(wcc_ACTons&gt;=300,wcc_ACTons&lt;400),IF(wcc_EERN&lt;wcc_EERQualB_301to400,"DNQ",(wc_SkWFact*wcc_ACTons*(12/wcc_EERMinB_301to400-12/wcc_EERN))),"OTHER")</f>
        <v>OTHER</v>
      </c>
      <c r="F24" t="s">
        <v>298</v>
      </c>
      <c r="G24" t="s">
        <v>299</v>
      </c>
      <c r="H24" s="85" t="str">
        <f>IF(AND(wcc_ACTons&gt;=300,wcc_ACTons&lt;400),IF(wcc_EERN&lt;wcc_EERQualB_301to400,"DNQ",(wc_WkWFact*wcc_ACTons*(12/wcc_EERMinB_301to400-12/wcc_EERN))),"OTHER")</f>
        <v>OTHER</v>
      </c>
      <c r="J24" t="s">
        <v>300</v>
      </c>
      <c r="K24" t="s">
        <v>301</v>
      </c>
      <c r="L24" s="86" t="str">
        <f>IF(AND(wcc_ACTons&gt;=300,wcc_ACTons&lt;400),IF(wcc_EERN&lt;wcc_EERQualB_301to400,"DNQ",(wc_kWhFact*wcc_ACTons*(12/wcc_EERMinB_301to400-12/wcc_EERN))),"OTHER")</f>
        <v>OTHER</v>
      </c>
      <c r="N24" t="s">
        <v>302</v>
      </c>
      <c r="O24" t="s">
        <v>303</v>
      </c>
      <c r="P24" s="87" t="str">
        <f>IF(AND(wcc_ACTons&gt;=300,wcc_ACTons&lt;400),IF(wcc_EERN&lt;wcc_EERQualB_301to400,"DNQ",(wc_Incent_per_kW*wcc_ACTons*(12/wcc_EERMinB_301to400-12/wcc_EERN))),"OTHER")</f>
        <v>OTHER</v>
      </c>
    </row>
    <row r="25" spans="1:22" hidden="1" x14ac:dyDescent="0.25">
      <c r="A25" t="s">
        <v>304</v>
      </c>
      <c r="B25" t="s">
        <v>305</v>
      </c>
      <c r="C25" s="85" t="str">
        <f>IF(AND(wcc_ACTons&gt;=400,wcc_ACTons&lt;600),IF(wcc_EERN&lt;wcc_EERQualB_401to600,"DNQ",(wc_SkWFact*wcc_ACTons*(12/wcc_EERMinB_401to600-12/wcc_EERN))),"OTHER")</f>
        <v>OTHER</v>
      </c>
      <c r="F25" t="s">
        <v>306</v>
      </c>
      <c r="G25" t="s">
        <v>307</v>
      </c>
      <c r="H25" s="85" t="str">
        <f>IF(AND(wcc_ACTons&gt;=400,wcc_ACTons&lt;600),IF(wcc_EERN&lt;wcc_EERQualB_401to600,"DNQ",(wc_WkWFact*wcc_ACTons*(12/wcc_EERMinB_401to600-12/wcc_EERN))),"OTHER")</f>
        <v>OTHER</v>
      </c>
      <c r="J25" t="s">
        <v>308</v>
      </c>
      <c r="K25" t="s">
        <v>309</v>
      </c>
      <c r="L25" s="86" t="str">
        <f>IF(AND(wcc_ACTons&gt;=400,wcc_ACTons&lt;600),IF(wcc_EERN&lt;wcc_EERQualB_401to600,"DNQ",(wc_kWhFact*wcc_ACTons*(12/wcc_EERMinB_401to600-12/wcc_EERN))),"OTHER")</f>
        <v>OTHER</v>
      </c>
      <c r="N25" t="s">
        <v>310</v>
      </c>
      <c r="O25" t="s">
        <v>311</v>
      </c>
      <c r="P25" s="87" t="str">
        <f>IF(AND(wcc_ACTons&gt;=400,wcc_ACTons&lt;600),IF(wcc_EERN&lt;wcc_EERQualB_401to600,"DNQ",(wc_Incent_per_kW*wcc_ACTons*(12/wcc_EERMinB_401to600-12/wcc_EERN))),"OTHER")</f>
        <v>OTHER</v>
      </c>
    </row>
    <row r="26" spans="1:22" hidden="1" x14ac:dyDescent="0.25">
      <c r="A26" t="s">
        <v>312</v>
      </c>
      <c r="B26" t="s">
        <v>313</v>
      </c>
      <c r="C26" s="85" t="str">
        <f>IF(wcc_ACTons&gt;=600,IF(wcc_EERN&lt;wcc_EERQualB_GT600,"DNQ",(wc_SkWFact*wcc_ACTons*(12/wcc_EERMinB_GT600-12/wcc_EERN))),"OTHER")</f>
        <v>OTHER</v>
      </c>
      <c r="F26" t="s">
        <v>314</v>
      </c>
      <c r="G26" t="s">
        <v>315</v>
      </c>
      <c r="H26" s="85" t="str">
        <f>IF(wcc_ACTons&gt;=600,IF(wcc_EERN&lt;wcc_EERQualB_GT600,"DNQ",(wc_WkWFact*wcc_ACTons*(12/wcc_EERMinB_GT600-12/wcc_EERN))),"OTHER")</f>
        <v>OTHER</v>
      </c>
      <c r="J26" t="s">
        <v>316</v>
      </c>
      <c r="K26" t="s">
        <v>317</v>
      </c>
      <c r="L26" s="86" t="str">
        <f>IF(wcc_ACTons&gt;=600,IF(wcc_EERN&lt;wcc_EERQualB_GT600,"DNQ",(wc_kWhFact*wcc_ACTons*(12/wcc_EERMinB_GT600-12/wcc_EERN))),"OTHER")</f>
        <v>OTHER</v>
      </c>
      <c r="N26" t="s">
        <v>318</v>
      </c>
      <c r="O26" t="s">
        <v>319</v>
      </c>
      <c r="P26" s="87" t="str">
        <f>IF(wcc_ACTons&gt;=600,IF(wcc_EERN&lt;wcc_EERQualB_GT600,"DNQ",(wc_Incent_per_kW*wcc_ACTons*(12/wcc_EERMinB_GT600-12/wcc_EERN))),"OTHER")</f>
        <v>OTHER</v>
      </c>
    </row>
    <row r="27" spans="1:22" ht="22.5" x14ac:dyDescent="0.3">
      <c r="A27" s="103" t="s">
        <v>320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</row>
    <row r="28" spans="1:22" ht="22.5" x14ac:dyDescent="0.3">
      <c r="A28" s="103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1:22" ht="18" x14ac:dyDescent="0.25">
      <c r="A29" s="102" t="s">
        <v>185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</row>
    <row r="30" spans="1:22" s="108" customFormat="1" x14ac:dyDescent="0.25">
      <c r="A30" s="109"/>
      <c r="B30" s="107"/>
      <c r="C30" s="185" t="str">
        <f>C5</f>
        <v>PATH A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x14ac:dyDescent="0.25">
      <c r="A31" s="89" t="s">
        <v>186</v>
      </c>
      <c r="C31" s="90" t="s">
        <v>218</v>
      </c>
      <c r="D31" s="104"/>
      <c r="E31" s="193"/>
      <c r="F31" s="68"/>
      <c r="G31" s="68"/>
      <c r="H31" s="68"/>
      <c r="I31" s="68"/>
      <c r="J31" s="68"/>
      <c r="K31" s="68"/>
      <c r="L31" s="68"/>
      <c r="M31" s="68"/>
      <c r="N31" s="68"/>
      <c r="O31" s="107"/>
      <c r="P31" s="107"/>
      <c r="Q31" s="107"/>
      <c r="R31" s="107"/>
      <c r="S31" s="107"/>
      <c r="T31" s="107"/>
      <c r="U31" s="107"/>
      <c r="V31" s="107"/>
    </row>
    <row r="32" spans="1:22" x14ac:dyDescent="0.25">
      <c r="A32" s="91" t="s">
        <v>2</v>
      </c>
      <c r="B32" s="92" t="s">
        <v>321</v>
      </c>
      <c r="C32" s="93" t="s">
        <v>4</v>
      </c>
      <c r="D32" s="105"/>
      <c r="E32" s="188"/>
      <c r="F32" s="68"/>
      <c r="G32" s="68"/>
      <c r="H32" s="68"/>
      <c r="I32" s="68"/>
      <c r="J32" s="68"/>
      <c r="K32" s="68"/>
      <c r="L32" s="68"/>
      <c r="M32" s="68"/>
      <c r="N32" s="68"/>
      <c r="O32" s="107"/>
      <c r="P32" s="107"/>
      <c r="Q32" s="107"/>
      <c r="R32" s="107"/>
      <c r="S32" s="107"/>
      <c r="T32" s="107"/>
      <c r="U32" s="107"/>
      <c r="V32" s="107"/>
    </row>
    <row r="33" spans="1:22" x14ac:dyDescent="0.25">
      <c r="A33" s="125" t="s">
        <v>189</v>
      </c>
      <c r="B33" s="126" t="s">
        <v>189</v>
      </c>
      <c r="C33" s="127" t="s">
        <v>322</v>
      </c>
      <c r="D33" s="105"/>
      <c r="E33" s="188"/>
      <c r="F33" s="68"/>
      <c r="G33" s="68"/>
      <c r="H33" s="68"/>
      <c r="I33" s="68"/>
      <c r="J33" s="68"/>
      <c r="K33" s="68"/>
      <c r="L33" s="68"/>
      <c r="M33" s="68"/>
      <c r="N33" s="68"/>
      <c r="O33" s="107"/>
      <c r="P33" s="107"/>
      <c r="Q33" s="107"/>
      <c r="R33" s="107"/>
      <c r="S33" s="107"/>
      <c r="T33" s="107"/>
      <c r="U33" s="107"/>
      <c r="V33" s="107"/>
    </row>
    <row r="34" spans="1:22" x14ac:dyDescent="0.25">
      <c r="A34" s="112" t="s">
        <v>191</v>
      </c>
      <c r="B34" s="113" t="s">
        <v>192</v>
      </c>
      <c r="C34" s="114" t="s">
        <v>323</v>
      </c>
      <c r="D34" s="105"/>
      <c r="E34" s="188"/>
      <c r="F34" s="68"/>
      <c r="G34" s="68"/>
      <c r="H34" s="68"/>
      <c r="I34" s="68"/>
      <c r="J34" s="68"/>
      <c r="K34" s="68"/>
      <c r="L34" s="68"/>
      <c r="M34" s="68"/>
      <c r="N34" s="68"/>
      <c r="O34" s="107"/>
      <c r="P34" s="107"/>
      <c r="Q34" s="107"/>
      <c r="R34" s="107"/>
      <c r="S34" s="107"/>
      <c r="T34" s="107"/>
      <c r="U34" s="107"/>
      <c r="V34" s="107"/>
    </row>
    <row r="35" spans="1:22" x14ac:dyDescent="0.25">
      <c r="A35" s="75" t="s">
        <v>324</v>
      </c>
      <c r="B35" s="76" t="s">
        <v>325</v>
      </c>
      <c r="C35" s="172">
        <v>60</v>
      </c>
      <c r="D35" s="105"/>
      <c r="E35" s="188"/>
      <c r="F35" s="68"/>
      <c r="G35" s="68"/>
      <c r="H35" s="68"/>
      <c r="I35" s="68"/>
      <c r="J35" s="68"/>
      <c r="K35" s="68"/>
      <c r="L35" s="68"/>
      <c r="M35" s="68"/>
      <c r="N35" s="68"/>
      <c r="O35" s="107"/>
      <c r="P35" s="107"/>
      <c r="Q35" s="107"/>
      <c r="R35" s="107"/>
      <c r="S35" s="107"/>
      <c r="T35" s="107"/>
      <c r="U35" s="107"/>
      <c r="V35" s="107"/>
    </row>
    <row r="36" spans="1:22" x14ac:dyDescent="0.25">
      <c r="A36" s="75" t="s">
        <v>195</v>
      </c>
      <c r="B36" s="76"/>
      <c r="C36" s="170">
        <v>22</v>
      </c>
      <c r="D36" s="105"/>
      <c r="E36" s="188"/>
      <c r="F36" s="68"/>
      <c r="G36" s="68"/>
      <c r="H36" s="68"/>
      <c r="I36" s="68"/>
      <c r="J36" s="68"/>
      <c r="K36" s="68"/>
      <c r="L36" s="68"/>
      <c r="M36" s="68"/>
      <c r="N36" s="68"/>
      <c r="O36" s="107"/>
      <c r="P36" s="107"/>
      <c r="Q36" s="107"/>
      <c r="R36" s="107"/>
      <c r="S36" s="107"/>
      <c r="T36" s="107"/>
      <c r="U36" s="107"/>
      <c r="V36" s="107"/>
    </row>
    <row r="37" spans="1:22" hidden="1" x14ac:dyDescent="0.25">
      <c r="A37" s="164" t="s">
        <v>196</v>
      </c>
      <c r="B37" s="76" t="s">
        <v>326</v>
      </c>
      <c r="C37" s="179">
        <f>IF(C36&lt;12/INPUTS!C60,12/C36,C36)</f>
        <v>22</v>
      </c>
      <c r="D37" s="105"/>
      <c r="E37" s="188"/>
      <c r="F37" s="68"/>
      <c r="G37" s="68"/>
      <c r="H37" s="68"/>
      <c r="I37" s="68"/>
      <c r="J37" s="68"/>
      <c r="K37" s="68"/>
      <c r="L37" s="68"/>
      <c r="M37" s="68"/>
      <c r="N37" s="68"/>
      <c r="O37" s="107"/>
      <c r="P37" s="107"/>
      <c r="Q37" s="107"/>
      <c r="R37" s="107"/>
      <c r="S37" s="107"/>
      <c r="T37" s="107"/>
      <c r="U37" s="107"/>
      <c r="V37" s="107"/>
    </row>
    <row r="38" spans="1:22" ht="15.75" thickBot="1" x14ac:dyDescent="0.3">
      <c r="A38" s="73" t="s">
        <v>198</v>
      </c>
      <c r="B38" s="165"/>
      <c r="C38" s="171">
        <v>0.55000000000000004</v>
      </c>
      <c r="D38" s="105"/>
      <c r="E38" s="188"/>
      <c r="F38" s="68"/>
      <c r="G38" s="68"/>
      <c r="H38" s="68"/>
      <c r="I38" s="68"/>
      <c r="J38" s="68"/>
      <c r="K38" s="68"/>
      <c r="L38" s="68"/>
      <c r="M38" s="68"/>
      <c r="N38" s="68"/>
      <c r="O38" s="107"/>
      <c r="P38" s="107"/>
      <c r="Q38" s="107"/>
      <c r="R38" s="107"/>
      <c r="S38" s="107"/>
      <c r="T38" s="107"/>
      <c r="U38" s="107"/>
      <c r="V38" s="107"/>
    </row>
    <row r="39" spans="1:22" ht="15.75" hidden="1" thickBot="1" x14ac:dyDescent="0.3">
      <c r="A39" s="73" t="s">
        <v>199</v>
      </c>
      <c r="B39" s="74" t="s">
        <v>327</v>
      </c>
      <c r="C39" s="180">
        <f>IF(C38&gt;0.55,12/C38,C38)</f>
        <v>0.55000000000000004</v>
      </c>
      <c r="D39" s="105"/>
      <c r="E39" s="188"/>
      <c r="F39" s="68"/>
      <c r="G39" s="68"/>
      <c r="H39" s="68"/>
      <c r="I39" s="68"/>
      <c r="J39" s="68"/>
      <c r="K39" s="68"/>
      <c r="L39" s="68"/>
      <c r="M39" s="68"/>
      <c r="N39" s="68"/>
      <c r="O39" s="107"/>
      <c r="P39" s="107"/>
      <c r="Q39" s="107"/>
      <c r="R39" s="107"/>
      <c r="S39" s="107"/>
      <c r="T39" s="107"/>
      <c r="U39" s="107"/>
      <c r="V39" s="107"/>
    </row>
    <row r="40" spans="1:22" ht="15.75" thickBot="1" x14ac:dyDescent="0.3">
      <c r="A40" s="73" t="s">
        <v>389</v>
      </c>
      <c r="B40" s="165"/>
      <c r="C40" s="192">
        <v>1</v>
      </c>
      <c r="D40" s="188"/>
      <c r="E40" s="188"/>
      <c r="F40" s="68"/>
      <c r="G40" s="68"/>
      <c r="H40" s="68"/>
      <c r="I40" s="68"/>
      <c r="J40" s="68"/>
      <c r="K40" s="68"/>
      <c r="L40" s="68"/>
      <c r="M40" s="68"/>
      <c r="N40" s="68"/>
      <c r="O40" s="107"/>
      <c r="P40" s="107"/>
      <c r="Q40" s="107"/>
      <c r="R40" s="107"/>
      <c r="S40" s="107"/>
      <c r="T40" s="107"/>
      <c r="U40" s="107"/>
      <c r="V40" s="107"/>
    </row>
    <row r="41" spans="1:22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107"/>
      <c r="P41" s="107"/>
      <c r="Q41" s="107"/>
      <c r="R41" s="107"/>
      <c r="S41" s="107"/>
      <c r="T41" s="107"/>
      <c r="U41" s="107"/>
      <c r="V41" s="107"/>
    </row>
    <row r="42" spans="1:22" ht="18.75" customHeight="1" x14ac:dyDescent="0.3">
      <c r="A42" s="161" t="s">
        <v>201</v>
      </c>
      <c r="B42" s="115"/>
      <c r="C42" s="160"/>
      <c r="D42" s="68"/>
      <c r="E42" s="195" t="s">
        <v>388</v>
      </c>
      <c r="F42" s="68"/>
      <c r="G42" s="68"/>
      <c r="H42" s="68"/>
      <c r="I42" s="68"/>
      <c r="J42" s="68"/>
      <c r="K42" s="68"/>
      <c r="L42" s="68"/>
      <c r="M42" s="68"/>
      <c r="N42" s="68"/>
      <c r="O42" s="107"/>
      <c r="P42" s="107"/>
      <c r="Q42" s="107"/>
      <c r="R42" s="107"/>
      <c r="S42" s="107"/>
      <c r="T42" s="107"/>
      <c r="U42" s="107"/>
      <c r="V42" s="107"/>
    </row>
    <row r="43" spans="1:22" x14ac:dyDescent="0.25">
      <c r="A43" s="116" t="s">
        <v>204</v>
      </c>
      <c r="B43" s="110"/>
      <c r="C43" s="163">
        <f>IF(wcc_Path="PATH A",wcc_PathA_SkW,IF(wcc_Path="Path B",wcc_PB_SkW,wcc_Path))</f>
        <v>3.8766927023154807</v>
      </c>
      <c r="D43" s="68"/>
      <c r="E43" s="163">
        <f>+C43*C40</f>
        <v>3.8766927023154807</v>
      </c>
      <c r="F43" s="68"/>
      <c r="G43" s="68"/>
      <c r="H43" s="68"/>
      <c r="I43" s="68"/>
      <c r="J43" s="68"/>
      <c r="K43" s="68"/>
      <c r="L43" s="68"/>
      <c r="M43" s="68"/>
      <c r="N43" s="68"/>
      <c r="O43" s="107"/>
      <c r="P43" s="107"/>
      <c r="Q43" s="107"/>
      <c r="R43" s="107"/>
      <c r="S43" s="107"/>
      <c r="T43" s="107"/>
      <c r="U43" s="107"/>
      <c r="V43" s="107"/>
    </row>
    <row r="44" spans="1:22" ht="18.75" x14ac:dyDescent="0.25">
      <c r="A44" s="116" t="s">
        <v>207</v>
      </c>
      <c r="B44" s="117"/>
      <c r="C44" s="122">
        <f>IF(wcc_Path="PATH A",wcc_PathA_WkW,IF(wcc_Path="Path B",wcc_PB_WkW,wcc_Path))</f>
        <v>0.83348893099782839</v>
      </c>
      <c r="D44" s="68"/>
      <c r="E44" s="122">
        <f>+C44*C40</f>
        <v>0.83348893099782839</v>
      </c>
      <c r="F44" s="68"/>
      <c r="G44" s="106"/>
      <c r="H44" s="68"/>
      <c r="I44" s="68"/>
      <c r="J44" s="68"/>
      <c r="K44" s="68"/>
      <c r="L44" s="68"/>
      <c r="M44" s="68"/>
      <c r="N44" s="68"/>
      <c r="O44" s="107"/>
      <c r="P44" s="107"/>
      <c r="Q44" s="107"/>
      <c r="R44" s="107"/>
      <c r="S44" s="107"/>
      <c r="T44" s="107"/>
      <c r="U44" s="107"/>
      <c r="V44" s="107"/>
    </row>
    <row r="45" spans="1:22" x14ac:dyDescent="0.25">
      <c r="A45" s="116" t="s">
        <v>208</v>
      </c>
      <c r="B45" s="117"/>
      <c r="C45" s="123">
        <f>IF(wcc_Path="PATH A",wcc_PathA_kWh,IF(wcc_Path="Path B",wcc_PB_kWh,wcc_Path))</f>
        <v>16096.028100013877</v>
      </c>
      <c r="D45" s="68"/>
      <c r="E45" s="123">
        <f>+C45*C40</f>
        <v>16096.028100013877</v>
      </c>
      <c r="F45" s="68"/>
      <c r="G45" s="68"/>
      <c r="H45" s="68"/>
      <c r="I45" s="68"/>
      <c r="J45" s="68"/>
      <c r="K45" s="68"/>
      <c r="L45" s="68"/>
      <c r="M45" s="68"/>
      <c r="N45" s="68"/>
      <c r="O45" s="107"/>
      <c r="P45" s="107"/>
      <c r="Q45" s="107"/>
      <c r="R45" s="107"/>
      <c r="S45" s="107"/>
      <c r="T45" s="107"/>
      <c r="U45" s="107"/>
      <c r="V45" s="107"/>
    </row>
    <row r="46" spans="1:22" x14ac:dyDescent="0.25">
      <c r="A46" s="118" t="s">
        <v>209</v>
      </c>
      <c r="B46" s="111"/>
      <c r="C46" s="124">
        <f>IF(wcc_Path="PATH A",wcc_PathA_Inc,IF(wcc_Path="Path B",wcc_PB_Inc,wcc_Path))</f>
        <v>562.12044183574471</v>
      </c>
      <c r="D46" s="68"/>
      <c r="E46" s="124">
        <f>+C46*C40</f>
        <v>562.12044183574471</v>
      </c>
      <c r="F46" s="68"/>
      <c r="G46" s="68"/>
      <c r="H46" s="68"/>
      <c r="I46" s="68"/>
      <c r="J46" s="68"/>
      <c r="K46" s="68"/>
      <c r="L46" s="68"/>
      <c r="M46" s="68"/>
      <c r="N46" s="68"/>
      <c r="O46" s="107"/>
      <c r="P46" s="107"/>
      <c r="Q46" s="107"/>
      <c r="R46" s="107"/>
      <c r="S46" s="107"/>
      <c r="T46" s="107"/>
      <c r="U46" s="107"/>
      <c r="V46" s="107"/>
    </row>
    <row r="47" spans="1:22" x14ac:dyDescent="0.25">
      <c r="A47" s="119" t="s">
        <v>210</v>
      </c>
      <c r="B47" s="120"/>
      <c r="C47" s="121"/>
      <c r="D47" s="68"/>
      <c r="E47" s="121"/>
      <c r="F47" s="68"/>
      <c r="G47" s="68"/>
      <c r="H47" s="68"/>
      <c r="I47" s="68"/>
      <c r="J47" s="68"/>
      <c r="K47" s="68"/>
      <c r="L47" s="68"/>
      <c r="M47" s="68"/>
      <c r="N47" s="68"/>
      <c r="O47" s="107"/>
      <c r="P47" s="107"/>
      <c r="Q47" s="107"/>
      <c r="R47" s="107"/>
      <c r="S47" s="107"/>
      <c r="T47" s="107"/>
      <c r="U47" s="107"/>
      <c r="V47" s="107"/>
    </row>
    <row r="48" spans="1:22" x14ac:dyDescent="0.2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107"/>
      <c r="P48" s="107"/>
      <c r="Q48" s="107"/>
      <c r="R48" s="107"/>
      <c r="S48" s="107"/>
      <c r="T48" s="107"/>
      <c r="U48" s="107"/>
      <c r="V48" s="107"/>
    </row>
    <row r="49" spans="1:22" ht="15.75" x14ac:dyDescent="0.25">
      <c r="A49" s="128" t="s">
        <v>211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107"/>
      <c r="P49" s="107"/>
      <c r="Q49" s="107"/>
      <c r="R49" s="107"/>
      <c r="S49" s="107"/>
      <c r="T49" s="107"/>
      <c r="U49" s="107"/>
      <c r="V49" s="107"/>
    </row>
    <row r="50" spans="1:22" x14ac:dyDescent="0.25">
      <c r="A50" s="130" t="s">
        <v>212</v>
      </c>
      <c r="B50" s="68"/>
      <c r="C50" s="129" t="s">
        <v>213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107"/>
      <c r="P50" s="107"/>
      <c r="Q50" s="107"/>
      <c r="R50" s="107"/>
      <c r="S50" s="107"/>
      <c r="T50" s="107"/>
      <c r="U50" s="107"/>
      <c r="V50" s="107"/>
    </row>
    <row r="51" spans="1:22" x14ac:dyDescent="0.25">
      <c r="A51" s="130"/>
      <c r="B51" s="68"/>
      <c r="C51" s="129" t="s">
        <v>214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107"/>
      <c r="P51" s="107"/>
      <c r="Q51" s="107"/>
      <c r="R51" s="107"/>
      <c r="S51" s="107"/>
      <c r="T51" s="107"/>
      <c r="U51" s="107"/>
      <c r="V51" s="107"/>
    </row>
    <row r="52" spans="1:22" x14ac:dyDescent="0.25">
      <c r="A52" s="130" t="s">
        <v>215</v>
      </c>
      <c r="B52" s="68"/>
      <c r="C52" s="129" t="s">
        <v>216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107"/>
      <c r="P52" s="107"/>
      <c r="Q52" s="107"/>
      <c r="R52" s="107"/>
      <c r="S52" s="107"/>
      <c r="T52" s="107"/>
      <c r="U52" s="107"/>
      <c r="V52" s="107"/>
    </row>
    <row r="53" spans="1:22" ht="18" x14ac:dyDescent="0.25">
      <c r="A53" s="143"/>
      <c r="B53" s="68"/>
      <c r="C53" s="129" t="s">
        <v>217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107"/>
      <c r="P53" s="107"/>
      <c r="Q53" s="107"/>
      <c r="R53" s="107"/>
      <c r="S53" s="107"/>
      <c r="T53" s="107"/>
      <c r="U53" s="107"/>
      <c r="V53" s="107"/>
    </row>
    <row r="54" spans="1:22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107"/>
      <c r="P54" s="107"/>
      <c r="Q54" s="107"/>
      <c r="R54" s="107"/>
      <c r="S54" s="107"/>
      <c r="T54" s="107"/>
      <c r="U54" s="107"/>
      <c r="V54" s="107"/>
    </row>
    <row r="55" spans="1:22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107"/>
      <c r="P55" s="107"/>
      <c r="Q55" s="107"/>
      <c r="R55" s="107"/>
      <c r="S55" s="107"/>
      <c r="T55" s="107"/>
      <c r="U55" s="107"/>
      <c r="V55" s="107"/>
    </row>
    <row r="56" spans="1:22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107"/>
      <c r="P56" s="107"/>
      <c r="Q56" s="107"/>
      <c r="R56" s="107"/>
      <c r="S56" s="107"/>
      <c r="T56" s="107"/>
      <c r="U56" s="107"/>
      <c r="V56" s="107"/>
    </row>
    <row r="57" spans="1:22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107"/>
      <c r="P57" s="107"/>
      <c r="Q57" s="107"/>
      <c r="R57" s="107"/>
      <c r="S57" s="107"/>
      <c r="T57" s="107"/>
      <c r="U57" s="107"/>
      <c r="V57" s="107"/>
    </row>
    <row r="58" spans="1:22" x14ac:dyDescent="0.2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107"/>
      <c r="P58" s="107"/>
      <c r="Q58" s="107"/>
      <c r="R58" s="107"/>
      <c r="S58" s="107"/>
      <c r="T58" s="107"/>
      <c r="U58" s="107"/>
      <c r="V58" s="107"/>
    </row>
    <row r="59" spans="1:22" x14ac:dyDescent="0.2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107"/>
      <c r="P59" s="107"/>
      <c r="Q59" s="107"/>
      <c r="R59" s="107"/>
      <c r="S59" s="107"/>
      <c r="T59" s="107"/>
      <c r="U59" s="107"/>
      <c r="V59" s="107"/>
    </row>
    <row r="60" spans="1:22" x14ac:dyDescent="0.2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107"/>
      <c r="P60" s="107"/>
      <c r="Q60" s="107"/>
      <c r="R60" s="107"/>
      <c r="S60" s="107"/>
      <c r="T60" s="107"/>
      <c r="U60" s="107"/>
      <c r="V60" s="107"/>
    </row>
    <row r="61" spans="1:22" x14ac:dyDescent="0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107"/>
      <c r="P61" s="107"/>
      <c r="Q61" s="107"/>
      <c r="R61" s="107"/>
      <c r="S61" s="107"/>
      <c r="T61" s="107"/>
      <c r="U61" s="107"/>
      <c r="V61" s="107"/>
    </row>
    <row r="62" spans="1:22" x14ac:dyDescent="0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107"/>
      <c r="P62" s="107"/>
      <c r="Q62" s="107"/>
      <c r="R62" s="107"/>
      <c r="S62" s="107"/>
      <c r="T62" s="107"/>
      <c r="U62" s="107"/>
      <c r="V62" s="107"/>
    </row>
    <row r="63" spans="1:22" x14ac:dyDescent="0.2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107"/>
      <c r="P63" s="107"/>
      <c r="Q63" s="107"/>
      <c r="R63" s="107"/>
      <c r="S63" s="107"/>
      <c r="T63" s="107"/>
      <c r="U63" s="107"/>
      <c r="V63" s="107"/>
    </row>
    <row r="64" spans="1:22" x14ac:dyDescent="0.2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107"/>
      <c r="P64" s="107"/>
      <c r="Q64" s="107"/>
      <c r="R64" s="107"/>
      <c r="S64" s="107"/>
      <c r="T64" s="107"/>
      <c r="U64" s="107"/>
      <c r="V64" s="107"/>
    </row>
    <row r="65" spans="1:22" x14ac:dyDescent="0.2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107"/>
      <c r="P65" s="107"/>
      <c r="Q65" s="107"/>
      <c r="R65" s="107"/>
      <c r="S65" s="107"/>
      <c r="T65" s="107"/>
      <c r="U65" s="107"/>
      <c r="V65" s="107"/>
    </row>
    <row r="66" spans="1:22" x14ac:dyDescent="0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107"/>
      <c r="P66" s="107"/>
      <c r="Q66" s="107"/>
      <c r="R66" s="107"/>
      <c r="S66" s="107"/>
      <c r="T66" s="107"/>
      <c r="U66" s="107"/>
      <c r="V66" s="107"/>
    </row>
    <row r="67" spans="1:22" x14ac:dyDescent="0.2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107"/>
      <c r="P67" s="107"/>
      <c r="Q67" s="107"/>
      <c r="R67" s="107"/>
      <c r="S67" s="107"/>
      <c r="T67" s="107"/>
      <c r="U67" s="107"/>
      <c r="V67" s="107"/>
    </row>
    <row r="68" spans="1:22" x14ac:dyDescent="0.2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107"/>
      <c r="P68" s="107"/>
      <c r="Q68" s="107"/>
      <c r="R68" s="107"/>
      <c r="S68" s="107"/>
      <c r="T68" s="107"/>
      <c r="U68" s="107"/>
      <c r="V68" s="107"/>
    </row>
    <row r="69" spans="1:22" x14ac:dyDescent="0.2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107"/>
      <c r="P69" s="107"/>
      <c r="Q69" s="107"/>
      <c r="R69" s="107"/>
      <c r="S69" s="107"/>
      <c r="T69" s="107"/>
      <c r="U69" s="107"/>
      <c r="V69" s="107"/>
    </row>
    <row r="70" spans="1:22" x14ac:dyDescent="0.25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107"/>
      <c r="P70" s="107"/>
      <c r="Q70" s="107"/>
      <c r="R70" s="107"/>
      <c r="S70" s="107"/>
      <c r="T70" s="107"/>
      <c r="U70" s="107"/>
      <c r="V70" s="107"/>
    </row>
    <row r="71" spans="1:22" x14ac:dyDescent="0.25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107"/>
      <c r="P71" s="107"/>
      <c r="Q71" s="107"/>
      <c r="R71" s="107"/>
      <c r="S71" s="107"/>
      <c r="T71" s="107"/>
      <c r="U71" s="107"/>
      <c r="V71" s="107"/>
    </row>
    <row r="72" spans="1:22" x14ac:dyDescent="0.2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107"/>
      <c r="P72" s="107"/>
      <c r="Q72" s="107"/>
      <c r="R72" s="107"/>
      <c r="S72" s="107"/>
      <c r="T72" s="107"/>
      <c r="U72" s="107"/>
      <c r="V72" s="107"/>
    </row>
    <row r="73" spans="1:22" x14ac:dyDescent="0.2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107"/>
      <c r="P73" s="107"/>
      <c r="Q73" s="107"/>
      <c r="R73" s="107"/>
      <c r="S73" s="107"/>
      <c r="T73" s="107"/>
      <c r="U73" s="107"/>
      <c r="V73" s="107"/>
    </row>
    <row r="74" spans="1:22" x14ac:dyDescent="0.2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107"/>
      <c r="P74" s="107"/>
      <c r="Q74" s="107"/>
      <c r="R74" s="107"/>
      <c r="S74" s="107"/>
      <c r="T74" s="107"/>
      <c r="U74" s="107"/>
      <c r="V74" s="107"/>
    </row>
    <row r="75" spans="1:22" x14ac:dyDescent="0.2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107"/>
      <c r="P75" s="107"/>
      <c r="Q75" s="107"/>
      <c r="R75" s="107"/>
      <c r="S75" s="107"/>
      <c r="T75" s="107"/>
      <c r="U75" s="107"/>
      <c r="V75" s="107"/>
    </row>
    <row r="76" spans="1:22" x14ac:dyDescent="0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107"/>
      <c r="P76" s="107"/>
      <c r="Q76" s="107"/>
      <c r="R76" s="107"/>
      <c r="S76" s="107"/>
      <c r="T76" s="107"/>
      <c r="U76" s="107"/>
      <c r="V76" s="107"/>
    </row>
    <row r="77" spans="1:22" x14ac:dyDescent="0.2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107"/>
      <c r="P77" s="107"/>
      <c r="Q77" s="107"/>
      <c r="R77" s="107"/>
      <c r="S77" s="107"/>
      <c r="T77" s="107"/>
      <c r="U77" s="107"/>
      <c r="V77" s="107"/>
    </row>
    <row r="78" spans="1:22" x14ac:dyDescent="0.2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107"/>
      <c r="P78" s="107"/>
      <c r="Q78" s="107"/>
      <c r="R78" s="107"/>
      <c r="S78" s="107"/>
      <c r="T78" s="107"/>
      <c r="U78" s="107"/>
      <c r="V78" s="107"/>
    </row>
    <row r="79" spans="1:22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107"/>
      <c r="P79" s="107"/>
      <c r="Q79" s="107"/>
      <c r="R79" s="107"/>
      <c r="S79" s="107"/>
      <c r="T79" s="107"/>
      <c r="U79" s="107"/>
      <c r="V79" s="107"/>
    </row>
  </sheetData>
  <sheetProtection algorithmName="SHA-512" hashValue="81aFahHqm9tkXdsc4synJSU+p+jU+CYgh+5+edcfKYNl18+CQwOSazveZX9WpZx+QAnfsQuIVWt2klqHW2x0uw==" saltValue="1fML6x1gKISJBASkZqlaRg==" spinCount="100000" sheet="1" objects="1" scenarios="1" selectLockedCells="1"/>
  <phoneticPr fontId="1" type="noConversion"/>
  <hyperlinks>
    <hyperlink ref="C50" r:id="rId1" xr:uid="{125360A6-4232-4E31-AF8D-26BEA5A707F4}"/>
    <hyperlink ref="C52" r:id="rId2" display="Mike_Catarzi@fpl.com" xr:uid="{92443DB2-9B1D-403D-8B03-65E7A0278517}"/>
    <hyperlink ref="C52" r:id="rId3" xr:uid="{C75DEEC8-DDEA-4AAB-A8DF-2831BBE15C4F}"/>
    <hyperlink ref="C53" r:id="rId4" xr:uid="{F08BB4CF-6A29-4F32-8BAC-95DC74B95AE5}"/>
    <hyperlink ref="C51" r:id="rId5" xr:uid="{B91784A8-713C-4CC1-B5E4-F65E7C059C0D}"/>
  </hyperlinks>
  <pageMargins left="0.7" right="0.7" top="0.75" bottom="0.75" header="0.3" footer="0.3"/>
  <pageSetup orientation="portrait" horizontalDpi="90" verticalDpi="90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62919-25BB-43DF-8023-9B75C77A3CAB}">
  <dimension ref="A2:Q67"/>
  <sheetViews>
    <sheetView zoomScale="140" zoomScaleNormal="140" workbookViewId="0">
      <selection activeCell="C41" sqref="C41"/>
    </sheetView>
  </sheetViews>
  <sheetFormatPr defaultRowHeight="15" x14ac:dyDescent="0.25"/>
  <cols>
    <col min="1" max="1" width="35.5703125" customWidth="1"/>
    <col min="2" max="2" width="34.28515625" hidden="1" customWidth="1"/>
    <col min="3" max="3" width="46.7109375" customWidth="1"/>
    <col min="4" max="4" width="0.7109375" customWidth="1"/>
    <col min="5" max="5" width="17.7109375" customWidth="1"/>
    <col min="6" max="6" width="22.140625" bestFit="1" customWidth="1"/>
    <col min="8" max="8" width="3.42578125" customWidth="1"/>
    <col min="9" max="9" width="20.5703125" bestFit="1" customWidth="1"/>
    <col min="10" max="10" width="21.42578125" bestFit="1" customWidth="1"/>
    <col min="11" max="11" width="11.5703125" bestFit="1" customWidth="1"/>
    <col min="12" max="12" width="4.140625" customWidth="1"/>
    <col min="13" max="13" width="19.140625" bestFit="1" customWidth="1"/>
    <col min="14" max="14" width="21.140625" bestFit="1" customWidth="1"/>
    <col min="15" max="15" width="11.5703125" bestFit="1" customWidth="1"/>
  </cols>
  <sheetData>
    <row r="2" spans="1:15" hidden="1" x14ac:dyDescent="0.25"/>
    <row r="3" spans="1:15" hidden="1" x14ac:dyDescent="0.25"/>
    <row r="4" spans="1:15" ht="18.75" hidden="1" x14ac:dyDescent="0.3">
      <c r="A4" s="77" t="s">
        <v>328</v>
      </c>
      <c r="E4" s="70" t="s">
        <v>167</v>
      </c>
      <c r="K4" s="78" t="s">
        <v>168</v>
      </c>
    </row>
    <row r="5" spans="1:15" ht="20.25" hidden="1" x14ac:dyDescent="0.25">
      <c r="A5" s="79" t="s">
        <v>329</v>
      </c>
      <c r="B5" s="79" t="s">
        <v>330</v>
      </c>
      <c r="C5" s="97" t="str">
        <f>IF(wcp_ACTons&lt;75,C6,IF(wcp_ACTons&lt;150,C7,IF(wcp_ACTons&lt;300,C8,IF(wcp_ACTons&lt;600,C9,C10))))</f>
        <v>PATH B</v>
      </c>
      <c r="E5" s="70" t="s">
        <v>170</v>
      </c>
      <c r="K5" s="78" t="s">
        <v>171</v>
      </c>
    </row>
    <row r="6" spans="1:15" ht="18.75" hidden="1" x14ac:dyDescent="0.25">
      <c r="A6" t="s">
        <v>331</v>
      </c>
      <c r="B6" t="s">
        <v>332</v>
      </c>
      <c r="C6" t="str">
        <f>IF(wcp_ACTons&lt;75,IF(wcp_IPLVN&lt;=INPUTS!H55,"PATH B",IF(wcp_IPLVN&lt;=wcp_LT75_MinIPLVA,"PATH A","DNQ")),"OTHER")</f>
        <v>OTHER</v>
      </c>
      <c r="E6" s="70"/>
      <c r="K6" s="78" t="s">
        <v>173</v>
      </c>
    </row>
    <row r="7" spans="1:15" ht="18.75" hidden="1" x14ac:dyDescent="0.25">
      <c r="A7" t="s">
        <v>333</v>
      </c>
      <c r="B7" t="s">
        <v>334</v>
      </c>
      <c r="C7" t="str">
        <f>IF(AND(wcp_ACTons&gt;=75,wcp_ACTons&lt;150),IF(wcp_IPLVN&lt;=wcp_76to150_MinIPLVA,"PATH B",IF(wcp_IPLVN&lt;=wcp_76to150_MinIPLVA,"PATH A","DNQ")),"OTHER")</f>
        <v>OTHER</v>
      </c>
      <c r="E7" s="70" t="s">
        <v>175</v>
      </c>
      <c r="K7" s="78" t="s">
        <v>176</v>
      </c>
    </row>
    <row r="8" spans="1:15" ht="18.75" hidden="1" x14ac:dyDescent="0.25">
      <c r="A8" t="s">
        <v>335</v>
      </c>
      <c r="B8" t="s">
        <v>336</v>
      </c>
      <c r="C8" t="str">
        <f>IF(AND(wcp_ACTons&gt;=150,wcp_ACTons&lt;300),IF(wcp_IPLVN&lt;=wcp_151to300MinIPLVB,"PATH B",IF(wcp_IPLVN&lt;=wcp_151to300_MinIPLVA,"PATH A","DNQ")),"OTHER")</f>
        <v>PATH B</v>
      </c>
      <c r="K8" s="78" t="s">
        <v>177</v>
      </c>
    </row>
    <row r="9" spans="1:15" ht="18.75" hidden="1" x14ac:dyDescent="0.25">
      <c r="A9" t="s">
        <v>337</v>
      </c>
      <c r="B9" t="s">
        <v>338</v>
      </c>
      <c r="C9" t="str">
        <f>IF(AND(wcp_ACTons&gt;=300,wcp_ACTons&lt;600),IF(wcp_IPLVN&lt;=wcp_301to600_MinIPLVB,"PATH B",IF(wcp_IPLVN&lt;=wcp_301to600_MinIPLVA,"PATH A","DNQ")),"OTHER")</f>
        <v>OTHER</v>
      </c>
      <c r="E9" s="70" t="s">
        <v>179</v>
      </c>
    </row>
    <row r="10" spans="1:15" ht="20.25" hidden="1" x14ac:dyDescent="0.25">
      <c r="A10" t="s">
        <v>229</v>
      </c>
      <c r="B10" t="s">
        <v>339</v>
      </c>
      <c r="C10" t="str">
        <f>IF(wcp_ACTons&gt;=600,IF(wcp_IPLVN&lt;=wcp_GT600_MinIPLVB,"PATH B",IF(wcp_IPLVN&lt;=wcp_GT600_MinIPLVA,"PATH A","DNQ")),"OTHER")</f>
        <v>OTHER</v>
      </c>
      <c r="E10" s="70" t="s">
        <v>181</v>
      </c>
    </row>
    <row r="11" spans="1:15" ht="17.25" hidden="1" customHeight="1" x14ac:dyDescent="0.25"/>
    <row r="12" spans="1:15" hidden="1" x14ac:dyDescent="0.25"/>
    <row r="13" spans="1:15" hidden="1" x14ac:dyDescent="0.25">
      <c r="A13" s="79" t="s">
        <v>340</v>
      </c>
      <c r="B13" s="79" t="s">
        <v>341</v>
      </c>
      <c r="C13" s="81">
        <f>IF(wcp_ACTons&lt;75,C14,IF(wcp_ACTons&lt;150,C15,IF(wcp_ACTons&lt;300,C16,IF(wcp_ACTons&lt;600,C17,C18))))</f>
        <v>8.9685214521452217</v>
      </c>
      <c r="D13" s="82"/>
      <c r="E13" s="79" t="s">
        <v>169</v>
      </c>
      <c r="F13" s="79" t="s">
        <v>342</v>
      </c>
      <c r="G13" s="81">
        <f>IF(wcp_ACTons&lt;75,G14,IF(wcp_ACTons&lt;150,G15,IF(wcp_ACTons&lt;300,G16,IF(wcp_ACTons&lt;600,G17,G18))))</f>
        <v>1.9282321122112225</v>
      </c>
      <c r="I13" s="79" t="s">
        <v>172</v>
      </c>
      <c r="J13" s="79" t="s">
        <v>343</v>
      </c>
      <c r="K13" s="98">
        <f>IF(wcp_ACTons&lt;75,K14,IF(wcp_ACTons&lt;150,K15,IF(wcp_ACTons&lt;300,K16,IF(wcp_ACTons&lt;600,K17,K18))))</f>
        <v>37237.301069306959</v>
      </c>
      <c r="M13" s="79" t="s">
        <v>174</v>
      </c>
      <c r="N13" s="79" t="s">
        <v>344</v>
      </c>
      <c r="O13" s="84">
        <f>IF(wcp_ACTons&lt;75,O14,IF(wcp_ACTons&lt;150,O15,IF(wcp_ACTons&lt;300,O16,IF(wcp_ACTons&lt;600,O17,O18))))</f>
        <v>1300.435610561057</v>
      </c>
    </row>
    <row r="14" spans="1:15" hidden="1" x14ac:dyDescent="0.25">
      <c r="A14" t="s">
        <v>331</v>
      </c>
      <c r="B14" t="s">
        <v>332</v>
      </c>
      <c r="C14" s="85" t="str">
        <f>IF(wcp_ACTons&lt;75,IF(wcp_EERN&lt;wcp_EERQualA_LT75,"DNQ",(wc_SkWFact*wcp_ACTons*(12/wcp_EERMinA_LT75-12/wcp_EERN))),"OTHER")</f>
        <v>OTHER</v>
      </c>
      <c r="E14" t="s">
        <v>238</v>
      </c>
      <c r="F14" t="s">
        <v>345</v>
      </c>
      <c r="G14" s="85" t="str">
        <f>IF(wcp_ACTons&lt;75,IF(wcp_EERN&lt;wcp_EERQualA_LT75,"DNQ",(wc_WkWFact*wcp_ACTons*(12/wcp_EERMinA_LT75-12/wcp_EERN))),"OTHER")</f>
        <v>OTHER</v>
      </c>
      <c r="I14" t="s">
        <v>240</v>
      </c>
      <c r="J14" t="s">
        <v>346</v>
      </c>
      <c r="K14" s="99" t="str">
        <f>IF(wcp_ACTons&lt;75,IF(wcp_EERN&lt;wcp_EERQualA_LT75,"DNQ",(wc_kWhFact*wcp_ACTons*(12/wcp_EERMinA_LT75-12/wcp_EERN))),"OTHER")</f>
        <v>OTHER</v>
      </c>
      <c r="M14" t="s">
        <v>242</v>
      </c>
      <c r="N14" t="s">
        <v>347</v>
      </c>
      <c r="O14" s="87" t="str">
        <f>IF(wcp_ACTons&lt;75,IF(wcp_EERN&lt;wcp_EERQualA_LT75,"DNQ",(wc_Incent_per_kW*wcp_ACTons*(12/wcp_EERMinA_LT75-12/wcp_EERN))),"OTHER")</f>
        <v>OTHER</v>
      </c>
    </row>
    <row r="15" spans="1:15" hidden="1" x14ac:dyDescent="0.25">
      <c r="A15" t="s">
        <v>333</v>
      </c>
      <c r="B15" t="s">
        <v>334</v>
      </c>
      <c r="C15" s="85" t="str">
        <f>IF(AND(wcp_ACTons&gt;=75,wcp_ACTons&lt;150),IF(wcp_EERN&lt;wcp_EERQualA_76to150,"DNQ",(wc_SkWFact*wcp_ACTons*(12/wcp_EERMinA_76to150-12/wcp_EERN))),"OTHER")</f>
        <v>OTHER</v>
      </c>
      <c r="E15" t="s">
        <v>246</v>
      </c>
      <c r="F15" t="s">
        <v>348</v>
      </c>
      <c r="G15" s="85" t="str">
        <f>IF(AND(wcp_ACTons&gt;=75,wcp_ACTons&lt;150),IF(wcp_EERN&lt;wcp_EERQualA_76to150,"DNQ",(wc_WkWFact*wcp_ACTons*(12/wcp_EERMinA_76to150-12/wcp_EERN))),"OTHER")</f>
        <v>OTHER</v>
      </c>
      <c r="I15" t="s">
        <v>248</v>
      </c>
      <c r="J15" t="s">
        <v>349</v>
      </c>
      <c r="K15" s="99" t="str">
        <f>IF(AND(wcp_ACTons&gt;=75,wcp_ACTons&lt;150),IF(wcp_EERN&lt;wcp_EERQualA_76to150,"DNQ",(wc_kWhFact*wcp_ACTons*(12/wcp_EERMinA_76to150-12/wcp_EERN))),"OTHER")</f>
        <v>OTHER</v>
      </c>
      <c r="M15" t="s">
        <v>250</v>
      </c>
      <c r="N15" t="s">
        <v>350</v>
      </c>
      <c r="O15" s="87" t="str">
        <f>IF(AND(wcp_ACTons&gt;=75,wcp_ACTons&lt;150),IF(wcp_EERN&lt;wcp_EERQualA_76to150,"DNQ",(wc_Incent_per_kW*wcp_ACTons*(12/wcp_EERMinA_76to150-12/wcp_EERN))),"OTHER")</f>
        <v>OTHER</v>
      </c>
    </row>
    <row r="16" spans="1:15" hidden="1" x14ac:dyDescent="0.25">
      <c r="A16" t="s">
        <v>335</v>
      </c>
      <c r="B16" t="s">
        <v>336</v>
      </c>
      <c r="C16" s="85">
        <f>IF(AND(wcp_ACTons&gt;=150,wcp_ACTons&lt;300),IF(wcp_EERN&lt;wcp_EERQualA_151to300,"DNQ",(wc_SkWFact*wcp_ACTons*(12/wcp_EERMinA_151to300-12/wcp_EERN))),"OTHER")</f>
        <v>8.9685214521452217</v>
      </c>
      <c r="E16" t="s">
        <v>254</v>
      </c>
      <c r="F16" t="s">
        <v>351</v>
      </c>
      <c r="G16" s="85">
        <f>IF(AND(wcp_ACTons&gt;=150,wcp_ACTons&lt;300),IF(wcp_EERN&lt;wcp_EERQualA_151to300,"DNQ",(wc_WkWFact*wcp_ACTons*(12/wcp_EERMinA_151to300-12/wcp_EERN))),"OTHER")</f>
        <v>1.9282321122112225</v>
      </c>
      <c r="I16" t="s">
        <v>256</v>
      </c>
      <c r="J16" t="s">
        <v>352</v>
      </c>
      <c r="K16" s="99">
        <f>IF(AND(wcp_ACTons&gt;=150,wcp_ACTons&lt;300),IF(wcp_EERN&lt;wcp_EERQualA_151to300,"DNQ",(wc_kWhFact*wcp_ACTons*(12/wcp_EERMinA_151to300-12/wcp_EERN))),"OTHER")</f>
        <v>37237.301069306959</v>
      </c>
      <c r="M16" t="s">
        <v>258</v>
      </c>
      <c r="N16" t="s">
        <v>353</v>
      </c>
      <c r="O16" s="87">
        <f>IF(AND(wcp_ACTons&gt;=150,wcp_ACTons&lt;300),IF(wcp_EERN&lt;wcp_EERQualA_151to300,"DNQ",(wc_Incent_per_kW*wcp_ACTons*(12/wcp_EERMinA_151to300-12/wcp_EERN))),"OTHER")</f>
        <v>1300.435610561057</v>
      </c>
    </row>
    <row r="17" spans="1:17" hidden="1" x14ac:dyDescent="0.25">
      <c r="A17" t="s">
        <v>337</v>
      </c>
      <c r="B17" t="s">
        <v>338</v>
      </c>
      <c r="C17" s="85" t="str">
        <f>IF(AND(wcp_ACTons&gt;=300,wcp_ACTons&lt;600),IF(wcp_EERN&lt;wcp_EERQualA_301to600,"DNQ",(wc_SkWFact*wcp_ACTons*(12/wcp_EERMinA_301to600-12/wcp_EERN))),"OTHER")</f>
        <v>OTHER</v>
      </c>
      <c r="E17" t="s">
        <v>262</v>
      </c>
      <c r="F17" t="s">
        <v>354</v>
      </c>
      <c r="G17" s="85" t="str">
        <f>IF(AND(wcp_ACTons&gt;=300,wcp_ACTons&lt;600),IF(wcp_EERN&lt;wcp_EERQualA_301to600,"DNQ",(wc_WkWFact*wcp_ACTons*(12/wcp_EERMinA_301to600-12/wcp_EERN))),"OTHER")</f>
        <v>OTHER</v>
      </c>
      <c r="I17" t="s">
        <v>264</v>
      </c>
      <c r="J17" t="s">
        <v>355</v>
      </c>
      <c r="K17" s="99" t="str">
        <f>IF(AND(wcp_ACTons&gt;=300,wcp_ACTons&lt;600),IF(wcp_EERN&lt;wcp_EERQualA_301to600,"DNQ",(wc_kWhFact*wcp_ACTons*(12/wcp_EERMinA_301to600-12/wcp_EERN))),"OTHER")</f>
        <v>OTHER</v>
      </c>
      <c r="M17" t="s">
        <v>266</v>
      </c>
      <c r="N17" t="s">
        <v>356</v>
      </c>
      <c r="O17" s="87" t="str">
        <f>IF(AND(wcp_ACTons&gt;=300,wcp_ACTons&lt;600),IF(wcp_EERN&lt;wcp_EERQualA_301to600,"DNQ",(wc_Incent_per_kW*wcp_ACTons*(12/wcp_EERMinA_301to600-12/wcp_EERN))),"OTHER")</f>
        <v>OTHER</v>
      </c>
    </row>
    <row r="18" spans="1:17" hidden="1" x14ac:dyDescent="0.25">
      <c r="A18" t="s">
        <v>229</v>
      </c>
      <c r="B18" t="s">
        <v>339</v>
      </c>
      <c r="C18" s="85" t="str">
        <f>IF(wcp_ACTons&gt;=600,IF(wcp_EERN&lt;wcp_EERQualA_GT600,"DNQ",(wc_SkWFact*wcp_ACTons*(12/wcp_EERMinA_GT600-12/wcp_EERN))),"OTHER")</f>
        <v>OTHER</v>
      </c>
      <c r="E18" t="s">
        <v>270</v>
      </c>
      <c r="F18" t="s">
        <v>357</v>
      </c>
      <c r="G18" s="85" t="str">
        <f>IF(wcp_ACTons&gt;=600,IF(wcp_EERN&lt;wcp_EERQualA_GT600,"DNQ",(wc_WkWFact*wcp_ACTons*(12/wcp_EERMinA_GT600-12/wcp_EERN))),"OTHER")</f>
        <v>OTHER</v>
      </c>
      <c r="I18" t="s">
        <v>272</v>
      </c>
      <c r="J18" t="s">
        <v>358</v>
      </c>
      <c r="K18" s="100" t="str">
        <f>IF(wcp_ACTons&gt;=600,IF(wcp_EERN&lt;wcp_EERQualA_GT600,"DNQ",(wc_kWhFact*wcp_ACTons*(12/wcp_EERMinA_GT600-12/wcp_EERN))),"OTHER")</f>
        <v>OTHER</v>
      </c>
      <c r="M18" t="s">
        <v>274</v>
      </c>
      <c r="N18" t="s">
        <v>359</v>
      </c>
      <c r="O18" s="87" t="str">
        <f>IF(wcp_ACTons&gt;=600,IF(wcp_EERN&lt;wcp_EERQualA_GT600,"DNQ",(wc_Incent_per_kW*wcp_ACTons*(12/wcp_EERMinA_GT600-12/wcp_EERN))),"OTHER")</f>
        <v>OTHER</v>
      </c>
    </row>
    <row r="19" spans="1:17" hidden="1" x14ac:dyDescent="0.25">
      <c r="C19" s="85"/>
      <c r="G19" s="85"/>
      <c r="K19" s="100"/>
      <c r="O19" s="87"/>
    </row>
    <row r="20" spans="1:17" hidden="1" x14ac:dyDescent="0.25">
      <c r="B20" s="88"/>
      <c r="K20" s="99"/>
    </row>
    <row r="21" spans="1:17" hidden="1" x14ac:dyDescent="0.25">
      <c r="A21" s="79" t="s">
        <v>360</v>
      </c>
      <c r="B21" s="79" t="s">
        <v>361</v>
      </c>
      <c r="C21" s="81">
        <f>IF(wcp_ACTons&lt;75,C22,IF(wcp_ACTons&lt;150,C23,IF(wcp_ACTons&lt;300,C24,IF(wcp_ACTons&lt;600,C25,C26))))</f>
        <v>13.329070821529756</v>
      </c>
      <c r="D21" s="82"/>
      <c r="E21" s="79" t="s">
        <v>180</v>
      </c>
      <c r="F21" s="79" t="s">
        <v>362</v>
      </c>
      <c r="G21" s="81">
        <f>IF(wcp_ACTons&lt;75,G22,IF(wcp_ACTons&lt;150,G23,IF(wcp_ACTons&lt;300,G24,IF(wcp_ACTons&lt;600,G25,G26))))</f>
        <v>2.8657502266288972</v>
      </c>
      <c r="I21" s="79" t="s">
        <v>182</v>
      </c>
      <c r="J21" s="79" t="s">
        <v>363</v>
      </c>
      <c r="K21" s="98">
        <f>IF(wcp_ACTons&lt;75,K22,IF(wcp_ACTons&lt;150,K23,IF(wcp_ACTons&lt;300,K24,IF(wcp_ACTons&lt;600,K25,K26))))</f>
        <v>55342.302050991544</v>
      </c>
      <c r="M21" s="79" t="s">
        <v>183</v>
      </c>
      <c r="N21" s="79" t="s">
        <v>364</v>
      </c>
      <c r="O21" s="84">
        <f>IF(wcp_ACTons&lt;75,O22,IF(wcp_ACTons&lt;150,O23,IF(wcp_ACTons&lt;300,O24,IF(wcp_ACTons&lt;600,O25,O26))))</f>
        <v>1932.7152691218146</v>
      </c>
    </row>
    <row r="22" spans="1:17" hidden="1" x14ac:dyDescent="0.25">
      <c r="A22" t="s">
        <v>331</v>
      </c>
      <c r="B22" t="s">
        <v>332</v>
      </c>
      <c r="C22" s="85" t="str">
        <f>IF(wcp_ACTons&lt;75,IF(wcp_EERN&lt;wcp_EERQualB_LT75,"DNQ",(wc_SkWFact*wcp_ACTons*(12/wcp_EERMinB_LT75-12/wcp_EERN))),"OTHER")</f>
        <v>OTHER</v>
      </c>
      <c r="E22" t="s">
        <v>282</v>
      </c>
      <c r="F22" t="s">
        <v>365</v>
      </c>
      <c r="G22" s="85" t="str">
        <f>IF(wcp_ACTons&lt;75,IF(wcp_EERN&lt;wcp_EERQualB_LT75,"DNQ",(wc_WkWFact*wcp_ACTons*(12/wcp_EERMinB_LT75-12/wcp_EERN))),"OTHER")</f>
        <v>OTHER</v>
      </c>
      <c r="I22" t="s">
        <v>284</v>
      </c>
      <c r="J22" t="s">
        <v>366</v>
      </c>
      <c r="K22" s="99" t="str">
        <f>IF(wcp_ACTons&lt;75,IF(wcp_EERN&lt;wcp_EERQualB_LT75,"DNQ",(wc_kWhFact*wcp_ACTons*(12/wcp_EERMinB_LT75-12/wcp_EERN))),"OTHER")</f>
        <v>OTHER</v>
      </c>
      <c r="M22" t="s">
        <v>286</v>
      </c>
      <c r="N22" t="s">
        <v>367</v>
      </c>
      <c r="O22" s="87" t="str">
        <f>IF(wcp_ACTons&lt;75,IF(wcp_EERN&lt;wcp_EERQualB_LT75,"DNQ",(wc_Incent_per_kW*wcp_ACTons*(12/wcp_EERMinB_LT75-12/wcp_EERN))),"OTHER")</f>
        <v>OTHER</v>
      </c>
    </row>
    <row r="23" spans="1:17" hidden="1" x14ac:dyDescent="0.25">
      <c r="A23" t="s">
        <v>333</v>
      </c>
      <c r="B23" t="s">
        <v>334</v>
      </c>
      <c r="C23" s="85" t="str">
        <f>IF(AND(wcp_ACTons&gt;=75,wcp_ACTons&lt;150),IF(wcp_EERN&lt;wcp_EERQualB_76to150,"DNQ",(wc_SkWFact*wcp_ACTons*(12/wcp_EERMinB_76to150-12/wcp_EERN))),"OTHER")</f>
        <v>OTHER</v>
      </c>
      <c r="E23" t="s">
        <v>290</v>
      </c>
      <c r="F23" t="s">
        <v>368</v>
      </c>
      <c r="G23" s="85" t="str">
        <f>IF(AND(wcp_ACTons&gt;=75,wcp_ACTons&lt;150),IF(wcp_EERN&lt;wcp_EERQualB_76to150,"DNQ",(wc_WkWFact*wcp_ACTons*(12/wcp_EERMinB_76to150-12/wcp_EERN))),"OTHER")</f>
        <v>OTHER</v>
      </c>
      <c r="I23" t="s">
        <v>292</v>
      </c>
      <c r="J23" t="s">
        <v>369</v>
      </c>
      <c r="K23" s="99" t="str">
        <f>IF(AND(wcp_ACTons&gt;=75,wcp_ACTons&lt;150),IF(wcp_EERN&lt;wcp_EERQualB_76to150,"DNQ",(wc_kWhFact*wcp_ACTons*(12/wcp_EERMinB_76to150-12/wcp_EERN))),"OTHER")</f>
        <v>OTHER</v>
      </c>
      <c r="M23" t="s">
        <v>294</v>
      </c>
      <c r="N23" t="s">
        <v>370</v>
      </c>
      <c r="O23" s="87" t="str">
        <f>IF(AND(wcp_ACTons&gt;=75,wcp_ACTons&lt;150),IF(wcp_EERN&lt;wcp_EERQualB_76to150,"DNQ",(wc_Incent_per_kW*wcp_ACTons*(12/wcp_EERMinB_76to150-12/wcp_EERN))),"OTHER")</f>
        <v>OTHER</v>
      </c>
    </row>
    <row r="24" spans="1:17" hidden="1" x14ac:dyDescent="0.25">
      <c r="A24" t="s">
        <v>335</v>
      </c>
      <c r="B24" t="s">
        <v>336</v>
      </c>
      <c r="C24" s="85">
        <f>IF(AND(wcp_ACTons&gt;=150,wcp_ACTons&lt;300),IF(wcp_EERN&lt;wcp_EERQualB_151to300,"DNQ",(wc_SkWFact*wcp_ACTons*(12/wcp_EERMinB_151to300-12/wcp_EERN))),"OTHER")</f>
        <v>13.329070821529756</v>
      </c>
      <c r="E24" t="s">
        <v>298</v>
      </c>
      <c r="F24" t="s">
        <v>371</v>
      </c>
      <c r="G24" s="85">
        <f>IF(AND(wcp_ACTons&gt;=150,wcp_ACTons&lt;300),IF(wcp_EERN&lt;wcp_EERQualB_151to300,"DNQ",(wc_WkWFact*wcp_ACTons*(12/wcp_EERMinB_151to300-12/wcp_EERN))),"OTHER")</f>
        <v>2.8657502266288972</v>
      </c>
      <c r="I24" t="s">
        <v>300</v>
      </c>
      <c r="J24" t="s">
        <v>372</v>
      </c>
      <c r="K24" s="99">
        <f>IF(AND(wcp_ACTons&gt;=150,wcp_ACTons&lt;300),IF(wcp_EERN&lt;wcp_EERQualB_151to300,"DNQ",(wc_kWhFact*wcp_ACTons*(12/wcp_EERMinB_151to300-12/wcp_EERN))),"OTHER")</f>
        <v>55342.302050991544</v>
      </c>
      <c r="M24" t="s">
        <v>302</v>
      </c>
      <c r="N24" t="s">
        <v>373</v>
      </c>
      <c r="O24" s="87">
        <f>IF(AND(wcp_ACTons&gt;=150,wcp_ACTons&lt;300),IF(wcp_EERN&lt;wcp_EERQualB_151to300,"DNQ",(wc_Incent_per_kW*wcp_ACTons*(12/wcp_EERMinB_151to300-12/wcp_EERN))),"OTHER")</f>
        <v>1932.7152691218146</v>
      </c>
    </row>
    <row r="25" spans="1:17" hidden="1" x14ac:dyDescent="0.25">
      <c r="A25" t="s">
        <v>337</v>
      </c>
      <c r="B25" t="s">
        <v>338</v>
      </c>
      <c r="C25" s="85" t="str">
        <f>IF(AND(wcp_ACTons&gt;=300,wcp_ACTons&lt;600),IF(wcp_EERN&lt;wcp_EERQualB_301to600,"DNQ",(wc_SkWFact*wcp_ACTons*(12/wcp_EERMinB_301to600-12/wcp_EERN))),"OTHER")</f>
        <v>OTHER</v>
      </c>
      <c r="E25" t="s">
        <v>306</v>
      </c>
      <c r="F25" t="s">
        <v>374</v>
      </c>
      <c r="G25" s="85" t="str">
        <f>IF(AND(wcp_ACTons&gt;=300,wcp_ACTons&lt;600),IF(wcp_EERN&lt;wcp_EERQualB_301to600,"DNQ",(wc_WkWFact*wcp_ACTons*(12/wcp_EERMinB_301to600-12/wcp_EERN))),"OTHER")</f>
        <v>OTHER</v>
      </c>
      <c r="I25" t="s">
        <v>308</v>
      </c>
      <c r="J25" t="s">
        <v>375</v>
      </c>
      <c r="K25" s="99" t="str">
        <f>IF(AND(wcp_ACTons&gt;=300,wcp_ACTons&lt;600),IF(wcp_EERN&lt;wcp_EERQualB_301to600,"DNQ",(wc_kWhFact*wcp_ACTons*(12/wcp_EERMinB_301to600-12/wcp_EERN))),"OTHER")</f>
        <v>OTHER</v>
      </c>
      <c r="M25" t="s">
        <v>310</v>
      </c>
      <c r="N25" t="s">
        <v>376</v>
      </c>
      <c r="O25" s="87" t="str">
        <f>IF(AND(wcp_ACTons&gt;=300,wcp_ACTons&lt;600),IF(wcp_EERN&lt;wcp_EERQualB_301to600,"DNQ",(wc_Incent_per_kW*wcp_ACTons*(12/wcp_EERMinB_301to600-12/wcp_EERN))),"OTHER")</f>
        <v>OTHER</v>
      </c>
    </row>
    <row r="26" spans="1:17" hidden="1" x14ac:dyDescent="0.25">
      <c r="A26" t="s">
        <v>229</v>
      </c>
      <c r="B26" t="s">
        <v>339</v>
      </c>
      <c r="C26" s="85" t="str">
        <f>IF(wcp_ACTons&gt;=600,IF(wcp_EERN&lt;wcp_EERQualB_GT600,"DNQ",(wc_SkWFact*wcp_ACTons*(12/wcp_EERMinB_GT600-12/wcp_EERN))),"OTHER")</f>
        <v>OTHER</v>
      </c>
      <c r="E26" t="s">
        <v>314</v>
      </c>
      <c r="F26" t="s">
        <v>377</v>
      </c>
      <c r="G26" s="85" t="str">
        <f>IF(wcp_ACTons&gt;=600,IF(wcp_EERN&lt;wcp_EERQualB_GT600,"DNQ",(wc_WkWFact*wcp_ACTons*(12/wcp_EERMinB_GT600-12/wcp_EERN))),"OTHER")</f>
        <v>OTHER</v>
      </c>
      <c r="I26" t="s">
        <v>316</v>
      </c>
      <c r="J26" t="s">
        <v>378</v>
      </c>
      <c r="K26" s="100" t="str">
        <f>IF(wcp_ACTons&gt;=600,IF(wcp_EERN&lt;wcp_EERQualB_GT600,"DNQ",(wc_kWhFact*wcp_ACTons*(12/wcp_EERMinB_GT600-12/wcp_EERN))),"OTHER")</f>
        <v>OTHER</v>
      </c>
      <c r="M26" t="s">
        <v>318</v>
      </c>
      <c r="N26" t="s">
        <v>379</v>
      </c>
      <c r="O26" s="87" t="str">
        <f>IF(wcp_ACTons&gt;=600,IF(wcp_EERN&lt;wcp_EERQualB_GT600,"DNQ",(wc_Incent_per_kW*wcp_ACTons*(12/wcp_EERMinB_GT600-12/wcp_EERN))),"OTHER")</f>
        <v>OTHER</v>
      </c>
    </row>
    <row r="27" spans="1:17" ht="22.5" x14ac:dyDescent="0.3">
      <c r="A27" s="103" t="s">
        <v>380</v>
      </c>
      <c r="B27" s="68"/>
      <c r="C27" s="144"/>
      <c r="D27" s="68"/>
      <c r="E27" s="68"/>
      <c r="F27" s="68"/>
      <c r="G27" s="144"/>
      <c r="H27" s="68"/>
      <c r="I27" s="68"/>
      <c r="J27" s="68"/>
      <c r="K27" s="146"/>
      <c r="L27" s="68"/>
      <c r="M27" s="68"/>
      <c r="N27" s="68"/>
      <c r="O27" s="131"/>
      <c r="P27" s="68"/>
      <c r="Q27" s="68"/>
    </row>
    <row r="28" spans="1:17" x14ac:dyDescent="0.25">
      <c r="A28" s="68"/>
      <c r="B28" s="68"/>
      <c r="C28" s="144"/>
      <c r="D28" s="68"/>
      <c r="E28" s="68"/>
      <c r="F28" s="68"/>
      <c r="G28" s="144"/>
      <c r="H28" s="68"/>
      <c r="I28" s="68"/>
      <c r="J28" s="68"/>
      <c r="K28" s="146"/>
      <c r="L28" s="68"/>
      <c r="M28" s="68"/>
      <c r="N28" s="68"/>
      <c r="O28" s="131"/>
      <c r="P28" s="68"/>
      <c r="Q28" s="68"/>
    </row>
    <row r="29" spans="1:17" ht="18" x14ac:dyDescent="0.25">
      <c r="A29" s="102" t="s">
        <v>185</v>
      </c>
      <c r="C29" s="183"/>
      <c r="D29" s="68"/>
      <c r="E29" s="68"/>
      <c r="F29" s="68"/>
      <c r="G29" s="144"/>
      <c r="H29" s="68"/>
      <c r="I29" s="68"/>
      <c r="J29" s="68"/>
      <c r="K29" s="146"/>
      <c r="L29" s="68"/>
      <c r="M29" s="68"/>
      <c r="N29" s="68"/>
      <c r="O29" s="131"/>
      <c r="P29" s="68"/>
      <c r="Q29" s="68"/>
    </row>
    <row r="30" spans="1:17" x14ac:dyDescent="0.25">
      <c r="A30" s="68"/>
      <c r="B30" s="68"/>
      <c r="C30" s="184" t="str">
        <f>C5</f>
        <v>PATH B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7" ht="15.75" x14ac:dyDescent="0.25">
      <c r="A31" s="147" t="s">
        <v>186</v>
      </c>
      <c r="B31" s="148"/>
      <c r="C31" s="149" t="s">
        <v>328</v>
      </c>
      <c r="D31" s="145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7" x14ac:dyDescent="0.25">
      <c r="A32" s="154" t="s">
        <v>2</v>
      </c>
      <c r="B32" s="155" t="s">
        <v>321</v>
      </c>
      <c r="C32" s="155" t="s">
        <v>4</v>
      </c>
      <c r="D32" s="134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x14ac:dyDescent="0.25">
      <c r="A33" s="154" t="s">
        <v>189</v>
      </c>
      <c r="B33" s="155" t="s">
        <v>189</v>
      </c>
      <c r="C33" s="155" t="s">
        <v>322</v>
      </c>
      <c r="D33" s="134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x14ac:dyDescent="0.25">
      <c r="A34" s="112" t="s">
        <v>191</v>
      </c>
      <c r="B34" s="113" t="s">
        <v>192</v>
      </c>
      <c r="C34" s="113" t="s">
        <v>381</v>
      </c>
      <c r="D34" s="134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x14ac:dyDescent="0.25">
      <c r="A35" s="75" t="s">
        <v>193</v>
      </c>
      <c r="B35" s="76" t="s">
        <v>382</v>
      </c>
      <c r="C35" s="101">
        <v>220</v>
      </c>
      <c r="D35" s="134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5.75" thickBot="1" x14ac:dyDescent="0.3">
      <c r="A36" s="73" t="s">
        <v>195</v>
      </c>
      <c r="B36" s="165"/>
      <c r="C36" s="167">
        <v>0.61929999999999996</v>
      </c>
      <c r="D36" s="134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idden="1" x14ac:dyDescent="0.25">
      <c r="A37" s="75" t="s">
        <v>196</v>
      </c>
      <c r="B37" s="76" t="s">
        <v>383</v>
      </c>
      <c r="C37" s="181">
        <f>IF(C36&lt;12/INPUTS!H60,12/C36,C36)</f>
        <v>19.376715646697885</v>
      </c>
      <c r="D37" s="134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5.75" thickBot="1" x14ac:dyDescent="0.3">
      <c r="A38" s="73" t="s">
        <v>198</v>
      </c>
      <c r="B38" s="165"/>
      <c r="C38" s="167">
        <v>0.37790000000000001</v>
      </c>
      <c r="D38" s="166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.5" customHeight="1" thickBot="1" x14ac:dyDescent="0.3">
      <c r="A39" s="73" t="s">
        <v>199</v>
      </c>
      <c r="B39" s="74" t="s">
        <v>384</v>
      </c>
      <c r="C39" s="182">
        <f>IF(C38&gt;0.6,12/C38,C38)</f>
        <v>0.37790000000000001</v>
      </c>
      <c r="D39" s="135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5.75" thickBot="1" x14ac:dyDescent="0.3">
      <c r="A40" s="73" t="s">
        <v>389</v>
      </c>
      <c r="B40" s="165"/>
      <c r="C40" s="189">
        <v>1</v>
      </c>
      <c r="D40" s="18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17" ht="22.5" x14ac:dyDescent="0.3">
      <c r="A42" s="161" t="s">
        <v>201</v>
      </c>
      <c r="B42" s="160"/>
      <c r="C42" s="160"/>
      <c r="D42" s="68"/>
      <c r="E42" s="194" t="s">
        <v>388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1:17" x14ac:dyDescent="0.25">
      <c r="A43" s="162" t="s">
        <v>204</v>
      </c>
      <c r="C43" s="69">
        <f>IF(wcp_Path="PATH A",wcp_PA_SkW,IF(wcp_Path="PATH B",wcp_PB_SkW,"DNQ"))</f>
        <v>13.329070821529756</v>
      </c>
      <c r="D43" s="68"/>
      <c r="E43" s="69">
        <f>+C43*C40</f>
        <v>13.329070821529756</v>
      </c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x14ac:dyDescent="0.25">
      <c r="A44" s="162" t="s">
        <v>207</v>
      </c>
      <c r="C44" s="69">
        <f>IF(wcp_Path="PATH A",wcp_PA_WkW,IF(wcp_Path="Path B",wcp_PB_WkW,wcp_Path))</f>
        <v>2.8657502266288972</v>
      </c>
      <c r="D44" s="68"/>
      <c r="E44" s="69">
        <f>+C44*C40</f>
        <v>2.8657502266288972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1:17" x14ac:dyDescent="0.25">
      <c r="A45" s="162" t="s">
        <v>208</v>
      </c>
      <c r="C45" s="71">
        <f>IF(wcp_Path="PATH A",wcp_PA_kWh,IF(wcp_Path="Path B",wcp_PB_kWh,wcp_Path))</f>
        <v>55342.302050991544</v>
      </c>
      <c r="D45" s="68"/>
      <c r="E45" s="71">
        <f>+C45*C40</f>
        <v>55342.302050991544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1:17" x14ac:dyDescent="0.25">
      <c r="A46" s="162" t="s">
        <v>209</v>
      </c>
      <c r="C46" s="72">
        <f>IF(wcp_Path="PATH A",wcp_PA_Inc,IF(wcp_Path="Path B",wcp_PB_Inc,wcp_Path))</f>
        <v>1932.7152691218146</v>
      </c>
      <c r="D46" s="68"/>
      <c r="E46" s="72">
        <f>+C46*C40</f>
        <v>1932.7152691218146</v>
      </c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1:17" ht="15.75" x14ac:dyDescent="0.25">
      <c r="A47" s="158" t="s">
        <v>210</v>
      </c>
      <c r="B47" s="159"/>
      <c r="C47" s="159"/>
      <c r="D47" s="68"/>
      <c r="E47" s="159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1:17" x14ac:dyDescent="0.25">
      <c r="A48" s="142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1:17" ht="15.75" x14ac:dyDescent="0.25">
      <c r="A49" s="128" t="s">
        <v>211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1:17" x14ac:dyDescent="0.25">
      <c r="A50" s="130" t="s">
        <v>212</v>
      </c>
      <c r="B50" s="68"/>
      <c r="C50" s="129" t="s">
        <v>385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1:17" x14ac:dyDescent="0.25">
      <c r="A51" s="130"/>
      <c r="B51" s="68"/>
      <c r="C51" s="129" t="s">
        <v>214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1:17" x14ac:dyDescent="0.25">
      <c r="A52" s="130" t="s">
        <v>215</v>
      </c>
      <c r="B52" s="68"/>
      <c r="C52" s="129" t="s">
        <v>386</v>
      </c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1:17" ht="18" x14ac:dyDescent="0.25">
      <c r="A53" s="143"/>
      <c r="B53" s="68"/>
      <c r="C53" s="129" t="s">
        <v>217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1:17" x14ac:dyDescent="0.2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1:17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1:17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1:17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1:17" x14ac:dyDescent="0.2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x14ac:dyDescent="0.2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x14ac:dyDescent="0.2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x14ac:dyDescent="0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17" x14ac:dyDescent="0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x14ac:dyDescent="0.2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1:17" x14ac:dyDescent="0.2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1:17" x14ac:dyDescent="0.2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1:17" x14ac:dyDescent="0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17" x14ac:dyDescent="0.2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</sheetData>
  <sheetProtection algorithmName="SHA-512" hashValue="kwFz+kB/e/IMPtqddNsnb8kz/3nsqvartz1wHR/NojCzsAR1MN22j4T0EisqAw9nzEEPaFbnyY8t+MM7B5pwhg==" saltValue="IW5tRC1+xdjuld4zdZywew==" spinCount="100000" sheet="1" objects="1" scenarios="1"/>
  <protectedRanges>
    <protectedRange sqref="C35:C40" name="Range1"/>
  </protectedRanges>
  <hyperlinks>
    <hyperlink ref="C50" r:id="rId1" xr:uid="{07EEBF8C-E55D-46B4-80BF-6E5F891DFBF1}"/>
    <hyperlink ref="C52" r:id="rId2" display="Mike_Catarzi@fpl.com" xr:uid="{C4B900FE-200C-43B9-9673-5596B1C8596C}"/>
    <hyperlink ref="C52" r:id="rId3" xr:uid="{F7FE575B-41C7-42C2-BDC1-BC8E93865703}"/>
    <hyperlink ref="C53" r:id="rId4" xr:uid="{BAE33EB0-A118-4622-8B2D-187DCCB49619}"/>
    <hyperlink ref="C51" r:id="rId5" xr:uid="{94208EA7-0EA9-492A-9D96-C2E27D0AE72A}"/>
  </hyperlinks>
  <pageMargins left="0.7" right="0.7" top="0.75" bottom="0.75" header="0.3" footer="0.3"/>
  <pageSetup orientation="portrait" horizontalDpi="90" verticalDpi="90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590E38BA88A341A77346E9093137D6" ma:contentTypeVersion="5" ma:contentTypeDescription="Create a new document." ma:contentTypeScope="" ma:versionID="0576f738af7c221934faeea39dfce578">
  <xsd:schema xmlns:xsd="http://www.w3.org/2001/XMLSchema" xmlns:xs="http://www.w3.org/2001/XMLSchema" xmlns:p="http://schemas.microsoft.com/office/2006/metadata/properties" xmlns:ns2="7f000ab9-6d3a-4dcc-9dce-52095c2d84c5" xmlns:ns3="5d610ecf-d86f-4bec-92bc-047c515232c3" targetNamespace="http://schemas.microsoft.com/office/2006/metadata/properties" ma:root="true" ma:fieldsID="f1552310b3a22f256ba9f39710c62479" ns2:_="" ns3:_="">
    <xsd:import namespace="7f000ab9-6d3a-4dcc-9dce-52095c2d84c5"/>
    <xsd:import namespace="5d610ecf-d86f-4bec-92bc-047c515232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00ab9-6d3a-4dcc-9dce-52095c2d8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10ecf-d86f-4bec-92bc-047c515232c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A21546-8B70-4189-B11E-302ADFE25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000ab9-6d3a-4dcc-9dce-52095c2d84c5"/>
    <ds:schemaRef ds:uri="5d610ecf-d86f-4bec-92bc-047c515232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BABFDB-1826-4380-9AF6-3311E1EB78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FDD470-C5DF-42A2-A15B-36FC51D67EEA}">
  <ds:schemaRefs>
    <ds:schemaRef ds:uri="http://purl.org/dc/terms/"/>
    <ds:schemaRef ds:uri="http://schemas.openxmlformats.org/package/2006/metadata/core-properties"/>
    <ds:schemaRef ds:uri="http://purl.org/dc/dcmitype/"/>
    <ds:schemaRef ds:uri="7f000ab9-6d3a-4dcc-9dce-52095c2d84c5"/>
    <ds:schemaRef ds:uri="http://purl.org/dc/elements/1.1/"/>
    <ds:schemaRef ds:uri="http://schemas.microsoft.com/office/2006/metadata/properties"/>
    <ds:schemaRef ds:uri="5d610ecf-d86f-4bec-92bc-047c515232c3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Metadata/LabelInfo.xml><?xml version="1.0" encoding="utf-8"?>
<clbl:labelList xmlns:clbl="http://schemas.microsoft.com/office/2020/mipLabelMetadata">
  <clbl:label id="{a1681294-4857-4624-8d04-edaddb44ee26}" enabled="0" method="" siteId="{a1681294-4857-4624-8d04-edaddb44ee2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126</vt:i4>
      </vt:variant>
    </vt:vector>
  </HeadingPairs>
  <TitlesOfParts>
    <vt:vector size="130" baseType="lpstr">
      <vt:lpstr>INPUTS</vt:lpstr>
      <vt:lpstr>AirC Calculations</vt:lpstr>
      <vt:lpstr>WaterC Centrif Calculations</vt:lpstr>
      <vt:lpstr>WaterC Pos Disp Calc</vt:lpstr>
      <vt:lpstr>ac_150_or_Above</vt:lpstr>
      <vt:lpstr>ac_AC_Type</vt:lpstr>
      <vt:lpstr>ac_ACTons</vt:lpstr>
      <vt:lpstr>ac_BEF</vt:lpstr>
      <vt:lpstr>ac_EERMinA</vt:lpstr>
      <vt:lpstr>ac_EERMinB</vt:lpstr>
      <vt:lpstr>ac_EERN</vt:lpstr>
      <vt:lpstr>ac_EERQualA</vt:lpstr>
      <vt:lpstr>ac_EERQualB</vt:lpstr>
      <vt:lpstr>ac_GT150_MinIPLVA</vt:lpstr>
      <vt:lpstr>ac_GT150_MinIPLVB</vt:lpstr>
      <vt:lpstr>ac_Incent_per_kW</vt:lpstr>
      <vt:lpstr>ac_IPLVN</vt:lpstr>
      <vt:lpstr>ac_kWhFact</vt:lpstr>
      <vt:lpstr>ac_LT150_MinIPLVA</vt:lpstr>
      <vt:lpstr>ac_LT150_MinIPLVB</vt:lpstr>
      <vt:lpstr>ac_PATH</vt:lpstr>
      <vt:lpstr>ac_Path_A_Icentive</vt:lpstr>
      <vt:lpstr>ac_Path_A_kWh</vt:lpstr>
      <vt:lpstr>ac_Path_A_SkW</vt:lpstr>
      <vt:lpstr>ac_Path_A_WkW</vt:lpstr>
      <vt:lpstr>ac_Path_B_Icentive</vt:lpstr>
      <vt:lpstr>ac_Path_B_kWh</vt:lpstr>
      <vt:lpstr>ac_Path_B_SkW</vt:lpstr>
      <vt:lpstr>ac_Path_B_WkW</vt:lpstr>
      <vt:lpstr>ac_SkWFact</vt:lpstr>
      <vt:lpstr>ac_WkWFact</vt:lpstr>
      <vt:lpstr>GenMinkWperTonPerc</vt:lpstr>
      <vt:lpstr>wc_BEF</vt:lpstr>
      <vt:lpstr>wc_Incent_per_kW</vt:lpstr>
      <vt:lpstr>wc_kWhFact</vt:lpstr>
      <vt:lpstr>wc_SkWFact</vt:lpstr>
      <vt:lpstr>wc_WkWFact</vt:lpstr>
      <vt:lpstr>wcc_151to300_MinIPLVA</vt:lpstr>
      <vt:lpstr>wcc_151to300_MinIPLVB</vt:lpstr>
      <vt:lpstr>wcc_301to400_MinIPLVA</vt:lpstr>
      <vt:lpstr>wcc_301to400_MinIPLVB</vt:lpstr>
      <vt:lpstr>wcc_401to600_MinIPLVA</vt:lpstr>
      <vt:lpstr>wcc_401to600_MinIPLVB</vt:lpstr>
      <vt:lpstr>wcc_ACTons</vt:lpstr>
      <vt:lpstr>wcc_EERMinA_151to300</vt:lpstr>
      <vt:lpstr>wcc_EERMinA_301to400</vt:lpstr>
      <vt:lpstr>wcc_EERMinA_401to600</vt:lpstr>
      <vt:lpstr>wcc_EERMinA_GT600</vt:lpstr>
      <vt:lpstr>wcc_EERMinA_LT150</vt:lpstr>
      <vt:lpstr>wcc_EERMinB_151to300</vt:lpstr>
      <vt:lpstr>wcc_EERMinB_301to400</vt:lpstr>
      <vt:lpstr>wcc_EERMinB_401to600</vt:lpstr>
      <vt:lpstr>wcc_EERMinB_GT600</vt:lpstr>
      <vt:lpstr>wcc_EERMinB_LT150</vt:lpstr>
      <vt:lpstr>wcc_EERN</vt:lpstr>
      <vt:lpstr>wcc_EERQualA_151to300</vt:lpstr>
      <vt:lpstr>wcc_EERQualA_301to400</vt:lpstr>
      <vt:lpstr>wcc_EERQualA_401to600</vt:lpstr>
      <vt:lpstr>wcc_EERQualA_GT600</vt:lpstr>
      <vt:lpstr>wcc_EERQualA_LT150</vt:lpstr>
      <vt:lpstr>wcc_EERQualB_151to300</vt:lpstr>
      <vt:lpstr>wcc_EERQualB_301to400</vt:lpstr>
      <vt:lpstr>wcc_EERQualB_401to600</vt:lpstr>
      <vt:lpstr>wcc_EERQualB_GT600</vt:lpstr>
      <vt:lpstr>wcc_EERQualB_LT150</vt:lpstr>
      <vt:lpstr>wcc_GT600_MinIPLVA</vt:lpstr>
      <vt:lpstr>wcc_GT600_MinIPLVB</vt:lpstr>
      <vt:lpstr>wcc_IPLVN</vt:lpstr>
      <vt:lpstr>wcc_LT150_MinIPLVA</vt:lpstr>
      <vt:lpstr>wcc_LT150_MinIPLVB</vt:lpstr>
      <vt:lpstr>wcc_Path</vt:lpstr>
      <vt:lpstr>wcc_Path151to300</vt:lpstr>
      <vt:lpstr>wcc_PathA_Inc</vt:lpstr>
      <vt:lpstr>wcc_PathA_kWh</vt:lpstr>
      <vt:lpstr>wcc_PathA_SkW</vt:lpstr>
      <vt:lpstr>wcc_PathA_WkW</vt:lpstr>
      <vt:lpstr>wcc_PathGT600</vt:lpstr>
      <vt:lpstr>wcc_PathLT150</vt:lpstr>
      <vt:lpstr>wcc_PathLT301to400</vt:lpstr>
      <vt:lpstr>wcc_PathLT401to600</vt:lpstr>
      <vt:lpstr>wcc_PB_Inc</vt:lpstr>
      <vt:lpstr>wcc_PB_kWh</vt:lpstr>
      <vt:lpstr>wcc_PB_SkW</vt:lpstr>
      <vt:lpstr>wcc_PB_WkW</vt:lpstr>
      <vt:lpstr>wcp_151to300_MinIPLVA</vt:lpstr>
      <vt:lpstr>wcp_151to300MinIPLVB</vt:lpstr>
      <vt:lpstr>wcp_301to600_MinIPLVA</vt:lpstr>
      <vt:lpstr>wcp_301to600_MinIPLVB</vt:lpstr>
      <vt:lpstr>wcp_76to150_MinIPLVA</vt:lpstr>
      <vt:lpstr>wcp_76to150_MinIPLVB</vt:lpstr>
      <vt:lpstr>wcp_ACTons</vt:lpstr>
      <vt:lpstr>wcp_EERMinA_151to300</vt:lpstr>
      <vt:lpstr>wcp_EERMinA_301to600</vt:lpstr>
      <vt:lpstr>wcp_EERMinA_76to150</vt:lpstr>
      <vt:lpstr>wcp_EERMinA_GT600</vt:lpstr>
      <vt:lpstr>wcp_EERMinA_LT75</vt:lpstr>
      <vt:lpstr>wcp_EERMinB_151to300</vt:lpstr>
      <vt:lpstr>wcp_EERMinB_301to600</vt:lpstr>
      <vt:lpstr>wcp_EERMinB_76to150</vt:lpstr>
      <vt:lpstr>wcp_EERMinB_GT600</vt:lpstr>
      <vt:lpstr>wcp_EERMinB_LT75</vt:lpstr>
      <vt:lpstr>wcp_EERN</vt:lpstr>
      <vt:lpstr>wcp_EERQualA_151to300</vt:lpstr>
      <vt:lpstr>wcp_EERQualA_301to600</vt:lpstr>
      <vt:lpstr>wcp_EERQualA_76to150</vt:lpstr>
      <vt:lpstr>wcp_EERQualA_GT600</vt:lpstr>
      <vt:lpstr>wcp_EERQualA_LT75</vt:lpstr>
      <vt:lpstr>wcp_EERQualB_151to300</vt:lpstr>
      <vt:lpstr>wcp_EERQualB_301to600</vt:lpstr>
      <vt:lpstr>wcp_EERQualB_76to150</vt:lpstr>
      <vt:lpstr>wcp_EERQualB_GT600</vt:lpstr>
      <vt:lpstr>wcp_EERQualB_LT75</vt:lpstr>
      <vt:lpstr>wcp_GT600_MinIPLVA</vt:lpstr>
      <vt:lpstr>wcp_GT600_MinIPLVB</vt:lpstr>
      <vt:lpstr>wcp_IPLVN</vt:lpstr>
      <vt:lpstr>wcp_LT75_MinIPLVA</vt:lpstr>
      <vt:lpstr>wcp_LT75_MinIPLVB</vt:lpstr>
      <vt:lpstr>wcp_PA_Inc</vt:lpstr>
      <vt:lpstr>wcp_PA_kWh</vt:lpstr>
      <vt:lpstr>wcp_PA_SkW</vt:lpstr>
      <vt:lpstr>wcp_PA_WkW</vt:lpstr>
      <vt:lpstr>wcp_Path</vt:lpstr>
      <vt:lpstr>wcp_PathGT600</vt:lpstr>
      <vt:lpstr>wcp_PathLT151to300</vt:lpstr>
      <vt:lpstr>wcp_PathLT301to600</vt:lpstr>
      <vt:lpstr>wcp_PathLT75</vt:lpstr>
      <vt:lpstr>wcp_PB_Inc</vt:lpstr>
      <vt:lpstr>wcp_PB_kWh</vt:lpstr>
      <vt:lpstr>wcp_PB_SkW</vt:lpstr>
      <vt:lpstr>wcp_PB_WkW</vt:lpstr>
    </vt:vector>
  </TitlesOfParts>
  <Manager/>
  <Company>NexteraEnergy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Gans, Oscar</dc:creator>
  <cp:keywords/>
  <dc:description/>
  <cp:lastModifiedBy>Jones, Joseph</cp:lastModifiedBy>
  <cp:revision/>
  <dcterms:created xsi:type="dcterms:W3CDTF">2021-10-26T13:26:37Z</dcterms:created>
  <dcterms:modified xsi:type="dcterms:W3CDTF">2023-10-26T20:44:54Z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0x010100BF590E38BA88A341A77346E9093137D6</vt:lpwstr>
  </property>
</Properties>
</file>